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rosehavenhomesusa.sharepoint.com/sites/SalesGroup/Shared Documents/Reports/Financial Calculator/"/>
    </mc:Choice>
  </mc:AlternateContent>
  <xr:revisionPtr revIDLastSave="197" documentId="8_{39A0B8BC-112D-4D00-A68C-EA2FCBA107FC}" xr6:coauthVersionLast="47" xr6:coauthVersionMax="47" xr10:uidLastSave="{1C83280A-B024-4233-896F-CE8AE678E78A}"/>
  <bookViews>
    <workbookView xWindow="4350" yWindow="570" windowWidth="20115" windowHeight="14835" tabRatio="654" xr2:uid="{6086E9DB-5E13-46D6-AE57-AADA5638DA8C}"/>
  </bookViews>
  <sheets>
    <sheet name="Summary" sheetId="12" r:id="rId1"/>
    <sheet name="All Cash" sheetId="8" r:id="rId2"/>
    <sheet name="With Loan" sheetId="6" r:id="rId3"/>
    <sheet name="Owner Occupier" sheetId="10" r:id="rId4"/>
    <sheet name="Closing Costs" sheetId="3" state="hidden" r:id="rId5"/>
    <sheet name="FHA Amotization" sheetId="11" state="hidden" r:id="rId6"/>
    <sheet name="DAta" sheetId="2" state="hidden" r:id="rId7"/>
    <sheet name="30% Down Amortization" sheetId="4" state="hidden" r:id="rId8"/>
  </sheets>
  <definedNames>
    <definedName name="_xlnm._FilterDatabase" localSheetId="7" hidden="1">'30% Down Amortization'!#REF!</definedName>
    <definedName name="_xlnm._FilterDatabase" localSheetId="5" hidden="1">'FHA Amotization'!#REF!</definedName>
    <definedName name="_xlnm.Print_Area" localSheetId="1">'All Cash'!$B$1:$I$59</definedName>
    <definedName name="_xlnm.Print_Area" localSheetId="3">'Owner Occupier'!$B$1:$I$60</definedName>
    <definedName name="_xlnm.Print_Area" localSheetId="2">'With Loan'!$B$1:$I$59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8" l="1"/>
  <c r="Q35" i="8" s="1"/>
  <c r="H30" i="10"/>
  <c r="Q35" i="10" s="1"/>
  <c r="E35" i="12"/>
  <c r="E36" i="12" s="1"/>
  <c r="D35" i="12"/>
  <c r="D36" i="12" s="1"/>
  <c r="C34" i="12"/>
  <c r="C35" i="12" s="1"/>
  <c r="C33" i="12"/>
  <c r="D34" i="10"/>
  <c r="I41" i="10" s="1"/>
  <c r="H31" i="10"/>
  <c r="G32" i="10" s="1"/>
  <c r="H24" i="10"/>
  <c r="D55" i="10" s="1"/>
  <c r="E55" i="10" s="1"/>
  <c r="D41" i="10"/>
  <c r="C35" i="10"/>
  <c r="D24" i="10"/>
  <c r="H32" i="6"/>
  <c r="G33" i="6" s="1"/>
  <c r="H31" i="6"/>
  <c r="H24" i="6"/>
  <c r="D41" i="6"/>
  <c r="C35" i="6"/>
  <c r="D34" i="6"/>
  <c r="D46" i="6" s="1"/>
  <c r="H32" i="8"/>
  <c r="H24" i="8"/>
  <c r="I24" i="8" s="1"/>
  <c r="D34" i="8"/>
  <c r="I47" i="8" s="1"/>
  <c r="D51" i="10"/>
  <c r="E51" i="10" s="1"/>
  <c r="E48" i="10"/>
  <c r="D42" i="8"/>
  <c r="E42" i="8" s="1"/>
  <c r="E41" i="8"/>
  <c r="Y17" i="6" l="1"/>
  <c r="Y35" i="6"/>
  <c r="Y33" i="6"/>
  <c r="Y16" i="6"/>
  <c r="Y7" i="6"/>
  <c r="Y18" i="6"/>
  <c r="Y34" i="6"/>
  <c r="Y32" i="6"/>
  <c r="Y15" i="6"/>
  <c r="Y23" i="6"/>
  <c r="Y31" i="6"/>
  <c r="Y14" i="6"/>
  <c r="Y24" i="6"/>
  <c r="Y22" i="6"/>
  <c r="Y19" i="6"/>
  <c r="Y30" i="6"/>
  <c r="Y13" i="6"/>
  <c r="Y29" i="6"/>
  <c r="Y12" i="6"/>
  <c r="Y20" i="6"/>
  <c r="Y28" i="6"/>
  <c r="Y10" i="6"/>
  <c r="Y26" i="6"/>
  <c r="Y9" i="6"/>
  <c r="Y36" i="6"/>
  <c r="Y11" i="6"/>
  <c r="Y27" i="6"/>
  <c r="Y25" i="6"/>
  <c r="Y8" i="6"/>
  <c r="D53" i="10"/>
  <c r="E53" i="10" s="1"/>
  <c r="D46" i="10"/>
  <c r="E46" i="10" s="1"/>
  <c r="Z23" i="6"/>
  <c r="Z24" i="6"/>
  <c r="Z25" i="6"/>
  <c r="Z35" i="6"/>
  <c r="Z26" i="6"/>
  <c r="Z27" i="6"/>
  <c r="Z28" i="6"/>
  <c r="Z29" i="6"/>
  <c r="Z30" i="6"/>
  <c r="Z31" i="6"/>
  <c r="Z22" i="6"/>
  <c r="Z32" i="6"/>
  <c r="Z33" i="6"/>
  <c r="Z34" i="6"/>
  <c r="Z36" i="6"/>
  <c r="Z31" i="8"/>
  <c r="Z30" i="8"/>
  <c r="Z29" i="8"/>
  <c r="Z28" i="8"/>
  <c r="Z27" i="8"/>
  <c r="Z26" i="8"/>
  <c r="Z22" i="8"/>
  <c r="Y7" i="8"/>
  <c r="Y36" i="8"/>
  <c r="Y35" i="8"/>
  <c r="Y26" i="8"/>
  <c r="Y25" i="8"/>
  <c r="Y23" i="8"/>
  <c r="Y15" i="8"/>
  <c r="Y24" i="8"/>
  <c r="Y22" i="8"/>
  <c r="Y17" i="8"/>
  <c r="Y14" i="8"/>
  <c r="Y16" i="8"/>
  <c r="Z32" i="8"/>
  <c r="Y13" i="8"/>
  <c r="Y34" i="8"/>
  <c r="Y33" i="8"/>
  <c r="Y28" i="8"/>
  <c r="Y27" i="8"/>
  <c r="Y19" i="8"/>
  <c r="Z25" i="8"/>
  <c r="Y20" i="8"/>
  <c r="Z24" i="8"/>
  <c r="Z23" i="8"/>
  <c r="Y18" i="8"/>
  <c r="Y12" i="8"/>
  <c r="Z36" i="8"/>
  <c r="Y32" i="8"/>
  <c r="Y11" i="8"/>
  <c r="Z35" i="8"/>
  <c r="Y31" i="8"/>
  <c r="Y10" i="8"/>
  <c r="Z34" i="8"/>
  <c r="Y30" i="8"/>
  <c r="Y9" i="8"/>
  <c r="Z33" i="8"/>
  <c r="Y29" i="8"/>
  <c r="Y8" i="8"/>
  <c r="G33" i="8"/>
  <c r="D40" i="8"/>
  <c r="E40" i="8" s="1"/>
  <c r="Q17" i="10"/>
  <c r="Q14" i="10"/>
  <c r="Q15" i="10"/>
  <c r="Q32" i="10"/>
  <c r="R16" i="10"/>
  <c r="R8" i="10"/>
  <c r="Q36" i="8"/>
  <c r="R32" i="10"/>
  <c r="D35" i="8"/>
  <c r="D38" i="8" s="1"/>
  <c r="D24" i="8"/>
  <c r="R36" i="8" s="1"/>
  <c r="Q36" i="10"/>
  <c r="Q10" i="10"/>
  <c r="C36" i="12"/>
  <c r="H33" i="8"/>
  <c r="Q16" i="10"/>
  <c r="Q33" i="10"/>
  <c r="Q7" i="8"/>
  <c r="Q18" i="10"/>
  <c r="Q11" i="8"/>
  <c r="Q19" i="10"/>
  <c r="Q15" i="8"/>
  <c r="Q20" i="10"/>
  <c r="Q21" i="8"/>
  <c r="Q7" i="10"/>
  <c r="Q22" i="10"/>
  <c r="Q22" i="8"/>
  <c r="Q8" i="10"/>
  <c r="Q23" i="10"/>
  <c r="Q19" i="8"/>
  <c r="Q21" i="10"/>
  <c r="Q23" i="8"/>
  <c r="Q9" i="10"/>
  <c r="Q24" i="10"/>
  <c r="Q30" i="8"/>
  <c r="Q12" i="10"/>
  <c r="Q26" i="10"/>
  <c r="Q26" i="8"/>
  <c r="Q11" i="10"/>
  <c r="Q25" i="10"/>
  <c r="Q34" i="8"/>
  <c r="Q13" i="10"/>
  <c r="Q28" i="10"/>
  <c r="D35" i="10"/>
  <c r="H32" i="10"/>
  <c r="E22" i="12" s="1"/>
  <c r="Q27" i="10"/>
  <c r="Q29" i="10"/>
  <c r="Q30" i="10"/>
  <c r="Q31" i="10"/>
  <c r="Q34" i="10"/>
  <c r="R34" i="10"/>
  <c r="Q24" i="8"/>
  <c r="Q9" i="8"/>
  <c r="Q8" i="8"/>
  <c r="Q10" i="8"/>
  <c r="Q25" i="8"/>
  <c r="Q12" i="8"/>
  <c r="Q27" i="8"/>
  <c r="Q13" i="8"/>
  <c r="Q28" i="8"/>
  <c r="Q14" i="8"/>
  <c r="Q29" i="8"/>
  <c r="Q16" i="8"/>
  <c r="Q17" i="8"/>
  <c r="Q32" i="8"/>
  <c r="Q31" i="8"/>
  <c r="Q18" i="8"/>
  <c r="Q33" i="8"/>
  <c r="Q20" i="8"/>
  <c r="H25" i="8"/>
  <c r="R29" i="10"/>
  <c r="R14" i="10"/>
  <c r="R31" i="10"/>
  <c r="R10" i="10"/>
  <c r="R26" i="10"/>
  <c r="R36" i="10"/>
  <c r="R22" i="10"/>
  <c r="R20" i="10"/>
  <c r="R18" i="10"/>
  <c r="R12" i="10"/>
  <c r="D54" i="10"/>
  <c r="R35" i="10"/>
  <c r="R7" i="10"/>
  <c r="R11" i="10"/>
  <c r="R15" i="10"/>
  <c r="R19" i="10"/>
  <c r="R23" i="10"/>
  <c r="R30" i="10"/>
  <c r="I24" i="10"/>
  <c r="R33" i="10"/>
  <c r="R28" i="10"/>
  <c r="R9" i="10"/>
  <c r="R13" i="10"/>
  <c r="R17" i="10"/>
  <c r="R21" i="10"/>
  <c r="R25" i="10"/>
  <c r="R27" i="10"/>
  <c r="R24" i="10"/>
  <c r="I48"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R35" i="8" l="1"/>
  <c r="H36" i="8"/>
  <c r="C22" i="12"/>
  <c r="R26" i="8"/>
  <c r="X6" i="8"/>
  <c r="Z6" i="8" s="1"/>
  <c r="D46" i="8"/>
  <c r="E46" i="8" s="1"/>
  <c r="D44" i="8"/>
  <c r="E44" i="8" s="1"/>
  <c r="R19" i="8"/>
  <c r="R17" i="8"/>
  <c r="R15" i="8"/>
  <c r="R28" i="8"/>
  <c r="R31" i="8"/>
  <c r="R21" i="8"/>
  <c r="R24" i="8"/>
  <c r="R16" i="8"/>
  <c r="R14" i="8"/>
  <c r="R12" i="8"/>
  <c r="R10" i="8"/>
  <c r="R8" i="8"/>
  <c r="R29" i="8"/>
  <c r="R34" i="8"/>
  <c r="R32" i="8"/>
  <c r="R27" i="8"/>
  <c r="R30" i="8"/>
  <c r="R23" i="8"/>
  <c r="D30" i="10"/>
  <c r="D45" i="8"/>
  <c r="E45" i="8" s="1"/>
  <c r="R11" i="8"/>
  <c r="R7" i="8"/>
  <c r="T25" i="8" s="1"/>
  <c r="R33" i="8"/>
  <c r="R25" i="8"/>
  <c r="R22" i="8"/>
  <c r="R13" i="8"/>
  <c r="R20" i="8"/>
  <c r="R9" i="8"/>
  <c r="R18" i="8"/>
  <c r="I25" i="8"/>
  <c r="H36" i="10"/>
  <c r="D40" i="10"/>
  <c r="E54" i="10"/>
  <c r="D52" i="10"/>
  <c r="T24" i="10"/>
  <c r="T22" i="10"/>
  <c r="T20" i="10"/>
  <c r="T18" i="10"/>
  <c r="T16" i="10"/>
  <c r="T14" i="10"/>
  <c r="T12" i="10"/>
  <c r="T10" i="10"/>
  <c r="T8" i="10"/>
  <c r="T29" i="10"/>
  <c r="T34" i="10"/>
  <c r="T21" i="10"/>
  <c r="T17" i="10"/>
  <c r="T11" i="10"/>
  <c r="T28" i="10"/>
  <c r="T32" i="10"/>
  <c r="T27" i="10"/>
  <c r="T23" i="10"/>
  <c r="T15" i="10"/>
  <c r="T7" i="10"/>
  <c r="T35" i="10"/>
  <c r="T33" i="10"/>
  <c r="T25" i="10"/>
  <c r="T30" i="10"/>
  <c r="T19" i="10"/>
  <c r="T13" i="10"/>
  <c r="T9" i="10"/>
  <c r="T26" i="10"/>
  <c r="T31" i="10"/>
  <c r="T36" i="10"/>
  <c r="D25" i="10"/>
  <c r="P26" i="8"/>
  <c r="P31" i="8"/>
  <c r="P24" i="8"/>
  <c r="P22" i="8"/>
  <c r="P20" i="8"/>
  <c r="P18" i="8"/>
  <c r="P16" i="8"/>
  <c r="P14" i="8"/>
  <c r="P12" i="8"/>
  <c r="P10" i="8"/>
  <c r="P8" i="8"/>
  <c r="P29" i="8"/>
  <c r="P34" i="8"/>
  <c r="P32" i="8"/>
  <c r="D26" i="8"/>
  <c r="C19" i="12" s="1"/>
  <c r="P25" i="8"/>
  <c r="P35" i="8"/>
  <c r="P28" i="8"/>
  <c r="P33" i="8"/>
  <c r="P30" i="8"/>
  <c r="P23" i="8"/>
  <c r="P21" i="8"/>
  <c r="P19" i="8"/>
  <c r="P17" i="8"/>
  <c r="P15" i="8"/>
  <c r="P13" i="8"/>
  <c r="P11" i="8"/>
  <c r="P9" i="8"/>
  <c r="P7" i="8"/>
  <c r="P36" i="8"/>
  <c r="P27" i="8"/>
  <c r="D50" i="6"/>
  <c r="E50" i="6" s="1"/>
  <c r="H25" i="6"/>
  <c r="I24" i="6"/>
  <c r="E47" i="6"/>
  <c r="C19" i="3" s="1"/>
  <c r="A8" i="3"/>
  <c r="C6" i="3"/>
  <c r="C16" i="3" s="1"/>
  <c r="E52" i="10" l="1"/>
  <c r="D52" i="6"/>
  <c r="E52" i="6" s="1"/>
  <c r="D25" i="8"/>
  <c r="C18" i="12" s="1"/>
  <c r="T26" i="8"/>
  <c r="V26" i="8" s="1"/>
  <c r="T33" i="8"/>
  <c r="V33" i="8" s="1"/>
  <c r="T7" i="8"/>
  <c r="V7" i="8" s="1"/>
  <c r="T9" i="8"/>
  <c r="V9" i="8" s="1"/>
  <c r="T23" i="8"/>
  <c r="V23" i="8" s="1"/>
  <c r="T28" i="8"/>
  <c r="V28" i="8" s="1"/>
  <c r="T32" i="8"/>
  <c r="V32" i="8" s="1"/>
  <c r="T29" i="8"/>
  <c r="V29" i="8" s="1"/>
  <c r="V17" i="10"/>
  <c r="V27" i="10"/>
  <c r="V28" i="10"/>
  <c r="V11" i="10"/>
  <c r="V21" i="10"/>
  <c r="V31" i="10"/>
  <c r="V14" i="10"/>
  <c r="V18" i="10"/>
  <c r="V20" i="10"/>
  <c r="V24" i="10"/>
  <c r="V23" i="10"/>
  <c r="V36" i="10"/>
  <c r="V26" i="10"/>
  <c r="V9" i="10"/>
  <c r="V13" i="10"/>
  <c r="V19" i="10"/>
  <c r="V30" i="10"/>
  <c r="V22" i="10"/>
  <c r="V7" i="10"/>
  <c r="V32" i="10"/>
  <c r="V34" i="10"/>
  <c r="V29" i="10"/>
  <c r="V8" i="10"/>
  <c r="V10" i="10"/>
  <c r="V12" i="10"/>
  <c r="V16" i="10"/>
  <c r="V25" i="10"/>
  <c r="V33" i="10"/>
  <c r="V35" i="10"/>
  <c r="V15" i="10"/>
  <c r="V25" i="8"/>
  <c r="T10" i="8"/>
  <c r="V10" i="8" s="1"/>
  <c r="T35" i="8"/>
  <c r="V35" i="8" s="1"/>
  <c r="T27" i="8"/>
  <c r="V27" i="8" s="1"/>
  <c r="T8" i="8"/>
  <c r="V8" i="8" s="1"/>
  <c r="T24" i="8"/>
  <c r="V24" i="8" s="1"/>
  <c r="T34" i="8"/>
  <c r="V34" i="8" s="1"/>
  <c r="D43" i="8"/>
  <c r="T13" i="8"/>
  <c r="V13" i="8" s="1"/>
  <c r="T14" i="8"/>
  <c r="V14" i="8" s="1"/>
  <c r="T12" i="8"/>
  <c r="V12" i="8" s="1"/>
  <c r="T15" i="8"/>
  <c r="V15" i="8" s="1"/>
  <c r="T17" i="8"/>
  <c r="V17" i="8" s="1"/>
  <c r="T18" i="8"/>
  <c r="V18" i="8" s="1"/>
  <c r="T11" i="8"/>
  <c r="V11" i="8" s="1"/>
  <c r="T19" i="8"/>
  <c r="V19" i="8" s="1"/>
  <c r="T20" i="8"/>
  <c r="V20" i="8" s="1"/>
  <c r="T16" i="8"/>
  <c r="V16" i="8" s="1"/>
  <c r="T21" i="8"/>
  <c r="V21" i="8" s="1"/>
  <c r="Y21" i="8" s="1"/>
  <c r="T22" i="8"/>
  <c r="V22" i="8" s="1"/>
  <c r="T30" i="8"/>
  <c r="V30" i="8" s="1"/>
  <c r="T36" i="8"/>
  <c r="V36" i="8" s="1"/>
  <c r="T31" i="8"/>
  <c r="V31" i="8" s="1"/>
  <c r="E18" i="12"/>
  <c r="B25" i="11"/>
  <c r="B145" i="11"/>
  <c r="C146" i="11"/>
  <c r="B201" i="11"/>
  <c r="B213" i="11"/>
  <c r="B214" i="11"/>
  <c r="C214" i="11"/>
  <c r="B265" i="11"/>
  <c r="C314" i="11"/>
  <c r="B127" i="11"/>
  <c r="C127" i="11"/>
  <c r="C128" i="11"/>
  <c r="B129" i="11"/>
  <c r="C105" i="11"/>
  <c r="C28" i="11"/>
  <c r="C339" i="11"/>
  <c r="B323" i="11"/>
  <c r="B306" i="11"/>
  <c r="C245" i="11"/>
  <c r="C227" i="11"/>
  <c r="C205" i="11"/>
  <c r="B187" i="11"/>
  <c r="B164" i="11"/>
  <c r="C46" i="11"/>
  <c r="B106" i="11"/>
  <c r="C156" i="11"/>
  <c r="C25" i="11"/>
  <c r="C164" i="11"/>
  <c r="C251" i="11"/>
  <c r="C24" i="11"/>
  <c r="C168" i="11"/>
  <c r="C288" i="11"/>
  <c r="C66" i="11"/>
  <c r="C261" i="11"/>
  <c r="C35" i="11"/>
  <c r="B18" i="11"/>
  <c r="B48" i="11"/>
  <c r="B179" i="11"/>
  <c r="B40" i="11"/>
  <c r="B200" i="11"/>
  <c r="B360" i="11"/>
  <c r="C170" i="11"/>
  <c r="C340" i="11"/>
  <c r="B11" i="11"/>
  <c r="B112" i="11"/>
  <c r="B272" i="11"/>
  <c r="C62" i="11"/>
  <c r="C222" i="11"/>
  <c r="B23" i="11"/>
  <c r="C93" i="11"/>
  <c r="C253" i="11"/>
  <c r="C298" i="11"/>
  <c r="C77" i="11"/>
  <c r="S10" i="10"/>
  <c r="B284" i="11"/>
  <c r="C15" i="11"/>
  <c r="C111" i="11"/>
  <c r="B10" i="11"/>
  <c r="B161" i="11"/>
  <c r="C63" i="11"/>
  <c r="B69" i="11"/>
  <c r="C161" i="11"/>
  <c r="C277" i="11"/>
  <c r="B20" i="11"/>
  <c r="C202" i="11"/>
  <c r="B103" i="11"/>
  <c r="B216" i="11"/>
  <c r="B350" i="11"/>
  <c r="C256" i="11"/>
  <c r="C147" i="11"/>
  <c r="B148" i="11"/>
  <c r="C148" i="11"/>
  <c r="B149" i="11"/>
  <c r="C129" i="11"/>
  <c r="B8" i="11"/>
  <c r="B359" i="11"/>
  <c r="B341" i="11"/>
  <c r="B324" i="11"/>
  <c r="C267" i="11"/>
  <c r="C247" i="11"/>
  <c r="B228" i="11"/>
  <c r="C209" i="11"/>
  <c r="B211" i="11"/>
  <c r="B311" i="11"/>
  <c r="B235" i="11"/>
  <c r="C91" i="11"/>
  <c r="B237" i="11"/>
  <c r="B94" i="11"/>
  <c r="B238" i="11"/>
  <c r="C7" i="11"/>
  <c r="C155" i="11"/>
  <c r="B276" i="11"/>
  <c r="C49" i="11"/>
  <c r="B248" i="11"/>
  <c r="C18" i="11"/>
  <c r="C259" i="11"/>
  <c r="C34" i="11"/>
  <c r="B166" i="11"/>
  <c r="B50" i="11"/>
  <c r="B210" i="11"/>
  <c r="C10" i="11"/>
  <c r="C180" i="11"/>
  <c r="C350" i="11"/>
  <c r="B71" i="11"/>
  <c r="B122" i="11"/>
  <c r="B282" i="11"/>
  <c r="C72" i="11"/>
  <c r="C232" i="11"/>
  <c r="B33" i="11"/>
  <c r="C103" i="11"/>
  <c r="C263" i="11"/>
  <c r="B286" i="11"/>
  <c r="B64" i="11"/>
  <c r="S12" i="10"/>
  <c r="C266" i="11"/>
  <c r="B185" i="11"/>
  <c r="C116" i="11"/>
  <c r="C89" i="11"/>
  <c r="C117" i="11"/>
  <c r="B44" i="11"/>
  <c r="C291" i="11"/>
  <c r="B209" i="11"/>
  <c r="C95" i="11"/>
  <c r="C140" i="11"/>
  <c r="B242" i="11"/>
  <c r="S17" i="10"/>
  <c r="C76" i="11"/>
  <c r="B288" i="11"/>
  <c r="C42" i="11"/>
  <c r="B105" i="11"/>
  <c r="B143" i="11"/>
  <c r="C81" i="11"/>
  <c r="C270" i="11"/>
  <c r="B256" i="11"/>
  <c r="C274" i="11"/>
  <c r="C174" i="11"/>
  <c r="B175" i="11"/>
  <c r="C175" i="11"/>
  <c r="B176" i="11"/>
  <c r="B156" i="11"/>
  <c r="B29" i="11"/>
  <c r="C8" i="11"/>
  <c r="C359" i="11"/>
  <c r="C344" i="11"/>
  <c r="C285" i="11"/>
  <c r="B268" i="11"/>
  <c r="C249" i="11"/>
  <c r="C228" i="11"/>
  <c r="B229" i="11"/>
  <c r="C121" i="11"/>
  <c r="C101" i="11"/>
  <c r="C131" i="11"/>
  <c r="B174" i="11"/>
  <c r="B334" i="11"/>
  <c r="C225" i="11"/>
  <c r="C356" i="11"/>
  <c r="C139" i="11"/>
  <c r="B263" i="11"/>
  <c r="B36" i="11"/>
  <c r="C235" i="11"/>
  <c r="B5" i="11"/>
  <c r="B247" i="11"/>
  <c r="C17" i="11"/>
  <c r="C151" i="11"/>
  <c r="B60" i="11"/>
  <c r="B220" i="11"/>
  <c r="C20" i="11"/>
  <c r="C190" i="11"/>
  <c r="C360" i="11"/>
  <c r="B111" i="11"/>
  <c r="B132" i="11"/>
  <c r="B292" i="11"/>
  <c r="C82" i="11"/>
  <c r="C242" i="11"/>
  <c r="B43" i="11"/>
  <c r="C113" i="11"/>
  <c r="C273" i="11"/>
  <c r="B273" i="11"/>
  <c r="B47" i="11"/>
  <c r="S14" i="10"/>
  <c r="B56" i="11"/>
  <c r="B77" i="11"/>
  <c r="B277" i="11"/>
  <c r="C48" i="11"/>
  <c r="B252" i="11"/>
  <c r="B227" i="11"/>
  <c r="C265" i="11"/>
  <c r="B65" i="11"/>
  <c r="C243" i="11"/>
  <c r="B215" i="11"/>
  <c r="C271" i="11"/>
  <c r="B197" i="11"/>
  <c r="C197" i="11"/>
  <c r="C198" i="11"/>
  <c r="B199" i="11"/>
  <c r="C176" i="11"/>
  <c r="C57" i="11"/>
  <c r="C29" i="11"/>
  <c r="B9" i="11"/>
  <c r="B361" i="11"/>
  <c r="C306" i="11"/>
  <c r="B287" i="11"/>
  <c r="C268" i="11"/>
  <c r="B251" i="11"/>
  <c r="B253" i="11"/>
  <c r="C45" i="11"/>
  <c r="B348" i="11"/>
  <c r="B46" i="11"/>
  <c r="C348" i="11"/>
  <c r="B333" i="11"/>
  <c r="C211" i="11"/>
  <c r="B344" i="11"/>
  <c r="C126" i="11"/>
  <c r="C248" i="11"/>
  <c r="B19" i="11"/>
  <c r="C221" i="11"/>
  <c r="C207" i="11"/>
  <c r="C234" i="11"/>
  <c r="B354" i="11"/>
  <c r="B137" i="11"/>
  <c r="B70" i="11"/>
  <c r="B230" i="11"/>
  <c r="C30" i="11"/>
  <c r="C200" i="11"/>
  <c r="B21" i="11"/>
  <c r="B131" i="11"/>
  <c r="B142" i="11"/>
  <c r="B302" i="11"/>
  <c r="C92" i="11"/>
  <c r="C252" i="11"/>
  <c r="B53" i="11"/>
  <c r="C123" i="11"/>
  <c r="C283" i="11"/>
  <c r="C258" i="11"/>
  <c r="C31" i="11"/>
  <c r="S9" i="10"/>
  <c r="S16" i="10"/>
  <c r="B28" i="11"/>
  <c r="B24" i="11"/>
  <c r="C68" i="11"/>
  <c r="C301" i="11"/>
  <c r="B170" i="11"/>
  <c r="C310" i="11"/>
  <c r="C352" i="11"/>
  <c r="C204" i="11"/>
  <c r="B55" i="11"/>
  <c r="C90" i="11"/>
  <c r="B205" i="11"/>
  <c r="B184" i="11"/>
  <c r="C160" i="11"/>
  <c r="C94" i="11"/>
  <c r="C144" i="11"/>
  <c r="C216" i="11"/>
  <c r="B217" i="11"/>
  <c r="C217" i="11"/>
  <c r="B218" i="11"/>
  <c r="C199" i="11"/>
  <c r="B86" i="11"/>
  <c r="B58" i="11"/>
  <c r="B37" i="11"/>
  <c r="C187" i="11"/>
  <c r="C324" i="11"/>
  <c r="B307" i="11"/>
  <c r="C287" i="11"/>
  <c r="B269" i="11"/>
  <c r="C269" i="11"/>
  <c r="C254" i="11"/>
  <c r="B294" i="11"/>
  <c r="C309" i="11"/>
  <c r="C294" i="11"/>
  <c r="B275" i="11"/>
  <c r="B198" i="11"/>
  <c r="B329" i="11"/>
  <c r="B113" i="11"/>
  <c r="B236" i="11"/>
  <c r="C5" i="11"/>
  <c r="B208" i="11"/>
  <c r="B195" i="11"/>
  <c r="C219" i="11"/>
  <c r="B339" i="11"/>
  <c r="B124" i="11"/>
  <c r="B80" i="11"/>
  <c r="B240" i="11"/>
  <c r="C40" i="11"/>
  <c r="C210" i="11"/>
  <c r="B31" i="11"/>
  <c r="B151" i="11"/>
  <c r="B152" i="11"/>
  <c r="B312" i="11"/>
  <c r="C102" i="11"/>
  <c r="C262" i="11"/>
  <c r="B63" i="11"/>
  <c r="C133" i="11"/>
  <c r="C293" i="11"/>
  <c r="B246" i="11"/>
  <c r="C16" i="11"/>
  <c r="S15" i="10"/>
  <c r="S18" i="10"/>
  <c r="B7" i="11"/>
  <c r="C192" i="11"/>
  <c r="B57" i="11"/>
  <c r="C311" i="11"/>
  <c r="B97" i="11"/>
  <c r="C150" i="11"/>
  <c r="C362" i="11"/>
  <c r="C104" i="11"/>
  <c r="B177" i="11"/>
  <c r="B35" i="11"/>
  <c r="C212" i="11"/>
  <c r="C74" i="11"/>
  <c r="C238" i="11"/>
  <c r="B239" i="11"/>
  <c r="C239" i="11"/>
  <c r="B241" i="11"/>
  <c r="B221" i="11"/>
  <c r="C106" i="11"/>
  <c r="C86" i="11"/>
  <c r="C58" i="11"/>
  <c r="C327" i="11"/>
  <c r="B345" i="11"/>
  <c r="B325" i="11"/>
  <c r="C307" i="11"/>
  <c r="C289" i="11"/>
  <c r="B291" i="11"/>
  <c r="B119" i="11"/>
  <c r="C169" i="11"/>
  <c r="C189" i="11"/>
  <c r="B173" i="11"/>
  <c r="C215" i="11"/>
  <c r="C185" i="11"/>
  <c r="C316" i="11"/>
  <c r="C97" i="11"/>
  <c r="B223" i="11"/>
  <c r="C195" i="11"/>
  <c r="B181" i="11"/>
  <c r="B207" i="11"/>
  <c r="C326" i="11"/>
  <c r="B108" i="11"/>
  <c r="B90" i="11"/>
  <c r="B250" i="11"/>
  <c r="C50" i="11"/>
  <c r="C220" i="11"/>
  <c r="B41" i="11"/>
  <c r="B171" i="11"/>
  <c r="B162" i="11"/>
  <c r="B322" i="11"/>
  <c r="C112" i="11"/>
  <c r="C272" i="11"/>
  <c r="B73" i="11"/>
  <c r="C143" i="11"/>
  <c r="C303" i="11"/>
  <c r="B233" i="11"/>
  <c r="S23" i="10"/>
  <c r="S20" i="10"/>
  <c r="B54" i="11"/>
  <c r="C334" i="11"/>
  <c r="C328" i="11"/>
  <c r="B219" i="11"/>
  <c r="C32" i="11"/>
  <c r="B267" i="11"/>
  <c r="B117" i="11"/>
  <c r="B278" i="11"/>
  <c r="C206" i="11"/>
  <c r="C233" i="11"/>
  <c r="C84" i="11"/>
  <c r="B163" i="11"/>
  <c r="B38" i="11"/>
  <c r="B190" i="11"/>
  <c r="B313" i="11"/>
  <c r="B331" i="11"/>
  <c r="B257" i="11"/>
  <c r="C257" i="11"/>
  <c r="B258" i="11"/>
  <c r="B261" i="11"/>
  <c r="C241" i="11"/>
  <c r="B133" i="11"/>
  <c r="B107" i="11"/>
  <c r="B87" i="11"/>
  <c r="C9" i="11"/>
  <c r="C361" i="11"/>
  <c r="B346" i="11"/>
  <c r="C325" i="11"/>
  <c r="B308" i="11"/>
  <c r="C308" i="11"/>
  <c r="B301" i="11"/>
  <c r="C99" i="11"/>
  <c r="B309" i="11"/>
  <c r="C231" i="11"/>
  <c r="B147" i="11"/>
  <c r="C171" i="11"/>
  <c r="B304" i="11"/>
  <c r="B84" i="11"/>
  <c r="C208" i="11"/>
  <c r="C181" i="11"/>
  <c r="B167" i="11"/>
  <c r="C194" i="11"/>
  <c r="B314" i="11"/>
  <c r="B95" i="11"/>
  <c r="B100" i="11"/>
  <c r="B260" i="11"/>
  <c r="C60" i="11"/>
  <c r="C230" i="11"/>
  <c r="B51" i="11"/>
  <c r="B12" i="11"/>
  <c r="B172" i="11"/>
  <c r="B332" i="11"/>
  <c r="C122" i="11"/>
  <c r="C282" i="11"/>
  <c r="B83" i="11"/>
  <c r="C153" i="11"/>
  <c r="C313" i="11"/>
  <c r="C218" i="11"/>
  <c r="S25" i="10"/>
  <c r="S35" i="10"/>
  <c r="S22" i="10"/>
  <c r="B315" i="11"/>
  <c r="C65" i="11"/>
  <c r="B123" i="11"/>
  <c r="C56" i="11"/>
  <c r="B349" i="11"/>
  <c r="B66" i="11"/>
  <c r="C320" i="11"/>
  <c r="C73" i="11"/>
  <c r="B271" i="11"/>
  <c r="C186" i="11"/>
  <c r="B303" i="11"/>
  <c r="B102" i="11"/>
  <c r="S34" i="10"/>
  <c r="B74" i="11"/>
  <c r="B146" i="11"/>
  <c r="C278" i="11"/>
  <c r="B279" i="11"/>
  <c r="C279" i="11"/>
  <c r="B281" i="11"/>
  <c r="C264" i="11"/>
  <c r="C157" i="11"/>
  <c r="B134" i="11"/>
  <c r="B114" i="11"/>
  <c r="C37" i="11"/>
  <c r="C11" i="11"/>
  <c r="B363" i="11"/>
  <c r="C346" i="11"/>
  <c r="B327" i="11"/>
  <c r="C347" i="11"/>
  <c r="C44" i="11"/>
  <c r="C21" i="11"/>
  <c r="B45" i="11"/>
  <c r="B293" i="11"/>
  <c r="B75" i="11"/>
  <c r="B157" i="11"/>
  <c r="B289" i="11"/>
  <c r="B67" i="11"/>
  <c r="B196" i="11"/>
  <c r="C167" i="11"/>
  <c r="B154" i="11"/>
  <c r="C179" i="11"/>
  <c r="B299" i="11"/>
  <c r="B78" i="11"/>
  <c r="B110" i="11"/>
  <c r="B270" i="11"/>
  <c r="C70" i="11"/>
  <c r="C240" i="11"/>
  <c r="B61" i="11"/>
  <c r="B22" i="11"/>
  <c r="B182" i="11"/>
  <c r="B342" i="11"/>
  <c r="C132" i="11"/>
  <c r="C292" i="11"/>
  <c r="B93" i="11"/>
  <c r="C163" i="11"/>
  <c r="C323" i="11"/>
  <c r="B206" i="11"/>
  <c r="S32" i="10"/>
  <c r="S7" i="10"/>
  <c r="C55" i="11"/>
  <c r="C338" i="11"/>
  <c r="C295" i="11"/>
  <c r="B326" i="11"/>
  <c r="B305" i="11"/>
  <c r="C330" i="11"/>
  <c r="C329" i="11"/>
  <c r="C145" i="11"/>
  <c r="D145" i="11" s="1"/>
  <c r="C296" i="11"/>
  <c r="B297" i="11"/>
  <c r="C297" i="11"/>
  <c r="B298" i="11"/>
  <c r="C281" i="11"/>
  <c r="C177" i="11"/>
  <c r="B158" i="11"/>
  <c r="C134" i="11"/>
  <c r="B59" i="11"/>
  <c r="C38" i="11"/>
  <c r="B14" i="11"/>
  <c r="B4" i="11"/>
  <c r="B347" i="11"/>
  <c r="B191" i="11"/>
  <c r="B296" i="11"/>
  <c r="B338" i="11"/>
  <c r="C351" i="11"/>
  <c r="B231" i="11"/>
  <c r="B358" i="11"/>
  <c r="B144" i="11"/>
  <c r="C276" i="11"/>
  <c r="C51" i="11"/>
  <c r="B183" i="11"/>
  <c r="C154" i="11"/>
  <c r="B138" i="11"/>
  <c r="C166" i="11"/>
  <c r="C286" i="11"/>
  <c r="C64" i="11"/>
  <c r="B120" i="11"/>
  <c r="B280" i="11"/>
  <c r="C80" i="11"/>
  <c r="C250" i="11"/>
  <c r="B81" i="11"/>
  <c r="B32" i="11"/>
  <c r="B192" i="11"/>
  <c r="B352" i="11"/>
  <c r="C142" i="11"/>
  <c r="C302" i="11"/>
  <c r="C13" i="11"/>
  <c r="C173" i="11"/>
  <c r="C333" i="11"/>
  <c r="B193" i="11"/>
  <c r="S27" i="10"/>
  <c r="D43" i="10"/>
  <c r="S13" i="10"/>
  <c r="C54" i="11"/>
  <c r="B186" i="11"/>
  <c r="B340" i="11"/>
  <c r="S29" i="10"/>
  <c r="B285" i="11"/>
  <c r="B30" i="11"/>
  <c r="S8" i="10"/>
  <c r="C71" i="11"/>
  <c r="C255" i="11"/>
  <c r="B317" i="11"/>
  <c r="C317" i="11"/>
  <c r="C318" i="11"/>
  <c r="B319" i="11"/>
  <c r="C299" i="11"/>
  <c r="C201" i="11"/>
  <c r="B178" i="11"/>
  <c r="C158" i="11"/>
  <c r="C87" i="11"/>
  <c r="C59" i="11"/>
  <c r="B39" i="11"/>
  <c r="C14" i="11"/>
  <c r="C4" i="11"/>
  <c r="C119" i="11"/>
  <c r="B188" i="11"/>
  <c r="B169" i="11"/>
  <c r="B254" i="11"/>
  <c r="B16" i="11"/>
  <c r="C345" i="11"/>
  <c r="B128" i="11"/>
  <c r="B264" i="11"/>
  <c r="C36" i="11"/>
  <c r="B168" i="11"/>
  <c r="C355" i="11"/>
  <c r="C138" i="11"/>
  <c r="B125" i="11"/>
  <c r="B153" i="11"/>
  <c r="B274" i="11"/>
  <c r="C47" i="11"/>
  <c r="B130" i="11"/>
  <c r="B290" i="11"/>
  <c r="C100" i="11"/>
  <c r="C260" i="11"/>
  <c r="B91" i="11"/>
  <c r="B42" i="11"/>
  <c r="B202" i="11"/>
  <c r="B362" i="11"/>
  <c r="C152" i="11"/>
  <c r="C312" i="11"/>
  <c r="C23" i="11"/>
  <c r="C183" i="11"/>
  <c r="C343" i="11"/>
  <c r="C178" i="11"/>
  <c r="S31" i="10"/>
  <c r="S36" i="10"/>
  <c r="S19" i="10"/>
  <c r="C159" i="11"/>
  <c r="C304" i="11"/>
  <c r="C196" i="11"/>
  <c r="B92" i="11"/>
  <c r="B104" i="11"/>
  <c r="C224" i="11"/>
  <c r="B194" i="11"/>
  <c r="B13" i="11"/>
  <c r="B255" i="11"/>
  <c r="C335" i="11"/>
  <c r="B336" i="11"/>
  <c r="C336" i="11"/>
  <c r="B337" i="11"/>
  <c r="C319" i="11"/>
  <c r="B225" i="11"/>
  <c r="B203" i="11"/>
  <c r="C184" i="11"/>
  <c r="C114" i="11"/>
  <c r="B88" i="11"/>
  <c r="C61" i="11"/>
  <c r="C39" i="11"/>
  <c r="B15" i="11"/>
  <c r="C358" i="11"/>
  <c r="B118" i="11"/>
  <c r="C98" i="11"/>
  <c r="C118" i="11"/>
  <c r="B283" i="11"/>
  <c r="C331" i="11"/>
  <c r="B115" i="11"/>
  <c r="B249" i="11"/>
  <c r="C19" i="11"/>
  <c r="B155" i="11"/>
  <c r="C341" i="11"/>
  <c r="C125" i="11"/>
  <c r="B109" i="11"/>
  <c r="C137" i="11"/>
  <c r="B259" i="11"/>
  <c r="B34" i="11"/>
  <c r="B140" i="11"/>
  <c r="B300" i="11"/>
  <c r="C110" i="11"/>
  <c r="C280" i="11"/>
  <c r="B101" i="11"/>
  <c r="B52" i="11"/>
  <c r="B212" i="11"/>
  <c r="E47" i="10"/>
  <c r="C162" i="11"/>
  <c r="C322" i="11"/>
  <c r="C33" i="11"/>
  <c r="C193" i="11"/>
  <c r="C353" i="11"/>
  <c r="C165" i="11"/>
  <c r="S26" i="10"/>
  <c r="S30" i="10"/>
  <c r="B245" i="11"/>
  <c r="C79" i="11"/>
  <c r="B82" i="11"/>
  <c r="B76" i="11"/>
  <c r="C78" i="11"/>
  <c r="C107" i="11"/>
  <c r="C321" i="11"/>
  <c r="B49" i="11"/>
  <c r="C83" i="11"/>
  <c r="B321" i="11"/>
  <c r="B17" i="11"/>
  <c r="C354" i="11"/>
  <c r="B355" i="11"/>
  <c r="B356" i="11"/>
  <c r="B357" i="11"/>
  <c r="C337" i="11"/>
  <c r="B244" i="11"/>
  <c r="B226" i="11"/>
  <c r="B204" i="11"/>
  <c r="B135" i="11"/>
  <c r="C115" i="11"/>
  <c r="C88" i="11"/>
  <c r="C67" i="11"/>
  <c r="C41" i="11"/>
  <c r="B189" i="11"/>
  <c r="C349" i="11"/>
  <c r="B335" i="11"/>
  <c r="B351" i="11"/>
  <c r="C229" i="11"/>
  <c r="B318" i="11"/>
  <c r="B99" i="11"/>
  <c r="C236" i="11"/>
  <c r="B6" i="11"/>
  <c r="B139" i="11"/>
  <c r="B328" i="11"/>
  <c r="C109" i="11"/>
  <c r="B96" i="11"/>
  <c r="C124" i="11"/>
  <c r="C246" i="11"/>
  <c r="B150" i="11"/>
  <c r="B310" i="11"/>
  <c r="C120" i="11"/>
  <c r="C290" i="11"/>
  <c r="B121" i="11"/>
  <c r="B62" i="11"/>
  <c r="B222" i="11"/>
  <c r="C12" i="11"/>
  <c r="C172" i="11"/>
  <c r="C332" i="11"/>
  <c r="C43" i="11"/>
  <c r="C203" i="11"/>
  <c r="C363" i="11"/>
  <c r="C149" i="11"/>
  <c r="S28" i="10"/>
  <c r="S33" i="10"/>
  <c r="C223" i="11"/>
  <c r="C284" i="11"/>
  <c r="B295" i="11"/>
  <c r="C52" i="11"/>
  <c r="C69" i="11"/>
  <c r="B26" i="11"/>
  <c r="C26" i="11"/>
  <c r="B27" i="11"/>
  <c r="C27" i="11"/>
  <c r="C6" i="11"/>
  <c r="C357" i="11"/>
  <c r="B266" i="11"/>
  <c r="C244" i="11"/>
  <c r="C226" i="11"/>
  <c r="B159" i="11"/>
  <c r="C135" i="11"/>
  <c r="B116" i="11"/>
  <c r="B89" i="11"/>
  <c r="B68" i="11"/>
  <c r="C188" i="11"/>
  <c r="C237" i="11"/>
  <c r="B98" i="11"/>
  <c r="B243" i="11"/>
  <c r="B165" i="11"/>
  <c r="C305" i="11"/>
  <c r="C85" i="11"/>
  <c r="B224" i="11"/>
  <c r="B343" i="11"/>
  <c r="B126" i="11"/>
  <c r="C315" i="11"/>
  <c r="C96" i="11"/>
  <c r="B79" i="11"/>
  <c r="C108" i="11"/>
  <c r="B234" i="11"/>
  <c r="S24" i="10"/>
  <c r="B160" i="11"/>
  <c r="B320" i="11"/>
  <c r="C130" i="11"/>
  <c r="C300" i="11"/>
  <c r="B141" i="11"/>
  <c r="B72" i="11"/>
  <c r="B232" i="11"/>
  <c r="C22" i="11"/>
  <c r="C182" i="11"/>
  <c r="C342" i="11"/>
  <c r="C53" i="11"/>
  <c r="C213" i="11"/>
  <c r="B353" i="11"/>
  <c r="C136" i="11"/>
  <c r="S11" i="10"/>
  <c r="B136" i="11"/>
  <c r="B330" i="11"/>
  <c r="C75" i="11"/>
  <c r="C141" i="11"/>
  <c r="B316" i="11"/>
  <c r="B180" i="11"/>
  <c r="S21" i="10"/>
  <c r="B85" i="11"/>
  <c r="C191" i="11"/>
  <c r="C275" i="11"/>
  <c r="B262" i="11"/>
  <c r="D53" i="6"/>
  <c r="E53" i="6" s="1"/>
  <c r="D54" i="6"/>
  <c r="E54" i="6" s="1"/>
  <c r="I25" i="6"/>
  <c r="D339" i="11" l="1"/>
  <c r="D34" i="11"/>
  <c r="D289" i="11"/>
  <c r="D85" i="11"/>
  <c r="D274" i="11"/>
  <c r="D288" i="11"/>
  <c r="D301" i="11"/>
  <c r="D231" i="11"/>
  <c r="D128" i="11"/>
  <c r="D66" i="11"/>
  <c r="D90" i="11"/>
  <c r="D101" i="11"/>
  <c r="D15" i="11"/>
  <c r="D222" i="11"/>
  <c r="D189" i="11"/>
  <c r="D168" i="11"/>
  <c r="D219" i="11"/>
  <c r="D32" i="11"/>
  <c r="D16" i="11"/>
  <c r="D232" i="11"/>
  <c r="D202" i="11"/>
  <c r="D285" i="11"/>
  <c r="D18" i="12"/>
  <c r="E43" i="8"/>
  <c r="E47" i="8" s="1"/>
  <c r="H44" i="8" s="1"/>
  <c r="D47" i="8"/>
  <c r="H26" i="8" s="1"/>
  <c r="D245" i="11"/>
  <c r="D362" i="11"/>
  <c r="D314" i="11"/>
  <c r="D352" i="11"/>
  <c r="D298" i="11"/>
  <c r="D159" i="11"/>
  <c r="D146" i="11"/>
  <c r="D140" i="11"/>
  <c r="D194" i="11"/>
  <c r="D117" i="11"/>
  <c r="D116" i="11"/>
  <c r="D95" i="11"/>
  <c r="D213" i="11"/>
  <c r="D264" i="11"/>
  <c r="D57" i="11"/>
  <c r="D270" i="11"/>
  <c r="D89" i="11"/>
  <c r="D209" i="11"/>
  <c r="D147" i="11"/>
  <c r="D212" i="11"/>
  <c r="D81" i="11"/>
  <c r="D126" i="11"/>
  <c r="D293" i="11"/>
  <c r="D328" i="11"/>
  <c r="D204" i="11"/>
  <c r="D151" i="11"/>
  <c r="D348" i="11"/>
  <c r="D201" i="11"/>
  <c r="D326" i="11"/>
  <c r="D74" i="11"/>
  <c r="D180" i="11"/>
  <c r="D42" i="11"/>
  <c r="D92" i="11"/>
  <c r="D91" i="11"/>
  <c r="D111" i="11"/>
  <c r="D320" i="11"/>
  <c r="D121" i="11"/>
  <c r="D169" i="11"/>
  <c r="D133" i="11"/>
  <c r="D205" i="11"/>
  <c r="D77" i="11"/>
  <c r="D256" i="11"/>
  <c r="D214" i="11"/>
  <c r="D291" i="11"/>
  <c r="D283" i="11"/>
  <c r="D190" i="11"/>
  <c r="D46" i="11"/>
  <c r="D13" i="11"/>
  <c r="D244" i="11"/>
  <c r="D14" i="11"/>
  <c r="D346" i="11"/>
  <c r="D73" i="11"/>
  <c r="D29" i="11"/>
  <c r="D33" i="11"/>
  <c r="D341" i="11"/>
  <c r="D129" i="11"/>
  <c r="D224" i="11"/>
  <c r="D139" i="11"/>
  <c r="D226" i="11"/>
  <c r="D300" i="11"/>
  <c r="D118" i="11"/>
  <c r="D4" i="11"/>
  <c r="D163" i="11"/>
  <c r="D230" i="11"/>
  <c r="D215" i="11"/>
  <c r="D248" i="11"/>
  <c r="D324" i="11"/>
  <c r="D272" i="11"/>
  <c r="D99" i="11"/>
  <c r="D104" i="11"/>
  <c r="D102" i="11"/>
  <c r="D234" i="11"/>
  <c r="D93" i="11"/>
  <c r="D297" i="11"/>
  <c r="D153" i="11"/>
  <c r="D347" i="11"/>
  <c r="D31" i="11"/>
  <c r="D253" i="11"/>
  <c r="D112" i="11"/>
  <c r="D223" i="11"/>
  <c r="D72" i="11"/>
  <c r="D316" i="11"/>
  <c r="D318" i="11"/>
  <c r="D254" i="11"/>
  <c r="D351" i="11"/>
  <c r="D206" i="11"/>
  <c r="D261" i="11"/>
  <c r="D155" i="11"/>
  <c r="D225" i="11"/>
  <c r="D340" i="11"/>
  <c r="D262" i="11"/>
  <c r="D198" i="11"/>
  <c r="D39" i="11"/>
  <c r="D343" i="11"/>
  <c r="D266" i="11"/>
  <c r="D319" i="11"/>
  <c r="D193" i="11"/>
  <c r="D137" i="11"/>
  <c r="D65" i="11"/>
  <c r="D292" i="11"/>
  <c r="D156" i="11"/>
  <c r="D276" i="11"/>
  <c r="D11" i="11"/>
  <c r="D69" i="11"/>
  <c r="D165" i="11"/>
  <c r="D259" i="11"/>
  <c r="D221" i="11"/>
  <c r="D7" i="11"/>
  <c r="D26" i="11"/>
  <c r="D355" i="11"/>
  <c r="D109" i="11"/>
  <c r="D88" i="11"/>
  <c r="D317" i="11"/>
  <c r="D183" i="11"/>
  <c r="D158" i="11"/>
  <c r="D83" i="11"/>
  <c r="D107" i="11"/>
  <c r="D162" i="11"/>
  <c r="D269" i="11"/>
  <c r="D252" i="11"/>
  <c r="D174" i="11"/>
  <c r="D175" i="11"/>
  <c r="D122" i="11"/>
  <c r="D238" i="11"/>
  <c r="D330" i="11"/>
  <c r="D160" i="11"/>
  <c r="D335" i="11"/>
  <c r="D17" i="11"/>
  <c r="D148" i="11"/>
  <c r="D68" i="11"/>
  <c r="D310" i="11"/>
  <c r="D258" i="11"/>
  <c r="D150" i="11"/>
  <c r="D249" i="11"/>
  <c r="D250" i="11"/>
  <c r="D35" i="11"/>
  <c r="D37" i="11"/>
  <c r="D344" i="11"/>
  <c r="D350" i="11"/>
  <c r="D123" i="11"/>
  <c r="D113" i="11"/>
  <c r="D170" i="11"/>
  <c r="D131" i="11"/>
  <c r="D247" i="11"/>
  <c r="D96" i="11"/>
  <c r="D336" i="11"/>
  <c r="D296" i="11"/>
  <c r="D313" i="11"/>
  <c r="D82" i="11"/>
  <c r="D255" i="11"/>
  <c r="D178" i="11"/>
  <c r="D120" i="11"/>
  <c r="D305" i="11"/>
  <c r="D61" i="11"/>
  <c r="D45" i="11"/>
  <c r="D100" i="11"/>
  <c r="D308" i="11"/>
  <c r="D38" i="11"/>
  <c r="D181" i="11"/>
  <c r="D97" i="11"/>
  <c r="D24" i="11"/>
  <c r="D43" i="11"/>
  <c r="D36" i="11"/>
  <c r="D28" i="11"/>
  <c r="D141" i="11"/>
  <c r="D27" i="11"/>
  <c r="D357" i="11"/>
  <c r="D138" i="11"/>
  <c r="D59" i="11"/>
  <c r="D110" i="11"/>
  <c r="D327" i="11"/>
  <c r="D167" i="11"/>
  <c r="D240" i="11"/>
  <c r="D354" i="11"/>
  <c r="D132" i="11"/>
  <c r="D176" i="11"/>
  <c r="D8" i="11"/>
  <c r="D161" i="11"/>
  <c r="D25" i="11"/>
  <c r="D243" i="11"/>
  <c r="D356" i="11"/>
  <c r="D78" i="11"/>
  <c r="D303" i="11"/>
  <c r="D87" i="11"/>
  <c r="D278" i="11"/>
  <c r="D322" i="11"/>
  <c r="D241" i="11"/>
  <c r="D80" i="11"/>
  <c r="D287" i="11"/>
  <c r="D227" i="11"/>
  <c r="D334" i="11"/>
  <c r="D282" i="11"/>
  <c r="D10" i="11"/>
  <c r="D127" i="11"/>
  <c r="D124" i="11"/>
  <c r="D184" i="11"/>
  <c r="D149" i="11"/>
  <c r="D360" i="11"/>
  <c r="D106" i="11"/>
  <c r="D6" i="11"/>
  <c r="D294" i="11"/>
  <c r="D62" i="11"/>
  <c r="D271" i="11"/>
  <c r="D84" i="11"/>
  <c r="D267" i="11"/>
  <c r="D171" i="11"/>
  <c r="D173" i="11"/>
  <c r="D239" i="11"/>
  <c r="D361" i="11"/>
  <c r="D44" i="11"/>
  <c r="D71" i="11"/>
  <c r="D94" i="11"/>
  <c r="D200" i="11"/>
  <c r="D265" i="11"/>
  <c r="D263" i="11"/>
  <c r="D242" i="11"/>
  <c r="D290" i="11"/>
  <c r="D188" i="11"/>
  <c r="D154" i="11"/>
  <c r="D304" i="11"/>
  <c r="D41" i="11"/>
  <c r="D246" i="11"/>
  <c r="D307" i="11"/>
  <c r="D53" i="11"/>
  <c r="D19" i="11"/>
  <c r="D9" i="11"/>
  <c r="D277" i="11"/>
  <c r="D237" i="11"/>
  <c r="D284" i="11"/>
  <c r="D40" i="11"/>
  <c r="D164" i="11"/>
  <c r="D299" i="11"/>
  <c r="D321" i="11"/>
  <c r="D203" i="11"/>
  <c r="D130" i="11"/>
  <c r="D144" i="11"/>
  <c r="D114" i="11"/>
  <c r="D332" i="11"/>
  <c r="D195" i="11"/>
  <c r="D55" i="11"/>
  <c r="D220" i="11"/>
  <c r="D179" i="11"/>
  <c r="D187" i="11"/>
  <c r="D98" i="11"/>
  <c r="D136" i="11"/>
  <c r="D295" i="11"/>
  <c r="D30" i="11"/>
  <c r="D192" i="11"/>
  <c r="D358" i="11"/>
  <c r="D196" i="11"/>
  <c r="D134" i="11"/>
  <c r="D172" i="11"/>
  <c r="D119" i="11"/>
  <c r="D208" i="11"/>
  <c r="D56" i="11"/>
  <c r="D60" i="11"/>
  <c r="D229" i="11"/>
  <c r="D235" i="11"/>
  <c r="D48" i="11"/>
  <c r="D45" i="10"/>
  <c r="E43" i="10"/>
  <c r="E45" i="10" s="1"/>
  <c r="E49" i="10" s="1"/>
  <c r="E56" i="10" s="1"/>
  <c r="D359" i="11"/>
  <c r="D49" i="11"/>
  <c r="D67" i="11"/>
  <c r="D349" i="11"/>
  <c r="D12" i="11"/>
  <c r="D63" i="11"/>
  <c r="D302" i="11"/>
  <c r="D185" i="11"/>
  <c r="D210" i="11"/>
  <c r="D311" i="11"/>
  <c r="D18" i="11"/>
  <c r="D47" i="10"/>
  <c r="D115" i="11"/>
  <c r="D337" i="11"/>
  <c r="D51" i="11"/>
  <c r="D309" i="11"/>
  <c r="D257" i="11"/>
  <c r="D54" i="11"/>
  <c r="D177" i="11"/>
  <c r="D236" i="11"/>
  <c r="D58" i="11"/>
  <c r="D142" i="11"/>
  <c r="D199" i="11"/>
  <c r="D47" i="11"/>
  <c r="D143" i="11"/>
  <c r="D50" i="11"/>
  <c r="D211" i="11"/>
  <c r="D216" i="11"/>
  <c r="D353" i="11"/>
  <c r="D79" i="11"/>
  <c r="D52" i="11"/>
  <c r="D125" i="11"/>
  <c r="D338" i="11"/>
  <c r="D342" i="11"/>
  <c r="D157" i="11"/>
  <c r="D281" i="11"/>
  <c r="D331" i="11"/>
  <c r="D108" i="11"/>
  <c r="D86" i="11"/>
  <c r="D333" i="11"/>
  <c r="D273" i="11"/>
  <c r="D268" i="11"/>
  <c r="D105" i="11"/>
  <c r="D166" i="11"/>
  <c r="D103" i="11"/>
  <c r="D306" i="11"/>
  <c r="D217" i="11"/>
  <c r="D70" i="11"/>
  <c r="D251" i="11"/>
  <c r="D186" i="11"/>
  <c r="D182" i="11"/>
  <c r="D75" i="11"/>
  <c r="D325" i="11"/>
  <c r="D312" i="11"/>
  <c r="D329" i="11"/>
  <c r="D21" i="11"/>
  <c r="D5" i="11"/>
  <c r="D64" i="11"/>
  <c r="D228" i="11"/>
  <c r="D23" i="11"/>
  <c r="D323" i="11"/>
  <c r="D275" i="11"/>
  <c r="D363" i="11"/>
  <c r="D135" i="11"/>
  <c r="D76" i="11"/>
  <c r="D280" i="11"/>
  <c r="D191" i="11"/>
  <c r="D22" i="11"/>
  <c r="D279" i="11"/>
  <c r="D315" i="11"/>
  <c r="D260" i="11"/>
  <c r="D233" i="11"/>
  <c r="D207" i="11"/>
  <c r="D345" i="11"/>
  <c r="D152" i="11"/>
  <c r="D218" i="11"/>
  <c r="D197" i="11"/>
  <c r="D286" i="11"/>
  <c r="D20" i="11"/>
  <c r="E4" i="11"/>
  <c r="E5" i="11" s="1"/>
  <c r="E6" i="11" s="1"/>
  <c r="E7" i="11" s="1"/>
  <c r="E8" i="11" s="1"/>
  <c r="E9" i="11" s="1"/>
  <c r="E10" i="11" s="1"/>
  <c r="E11" i="11" s="1"/>
  <c r="E12" i="11" s="1"/>
  <c r="E13" i="11" s="1"/>
  <c r="E14" i="11" s="1"/>
  <c r="E15" i="11" s="1"/>
  <c r="D51" i="6"/>
  <c r="D25" i="6"/>
  <c r="A11" i="2"/>
  <c r="A12" i="2" s="1"/>
  <c r="A13" i="2" s="1"/>
  <c r="A14" i="2" s="1"/>
  <c r="A15" i="2" s="1"/>
  <c r="A16" i="2" s="1"/>
  <c r="A17" i="2" s="1"/>
  <c r="A18" i="2" s="1"/>
  <c r="A19" i="2" s="1"/>
  <c r="A20" i="2" s="1"/>
  <c r="A21" i="2" s="1"/>
  <c r="A22" i="2" s="1"/>
  <c r="A23" i="2" s="1"/>
  <c r="D49" i="10" l="1"/>
  <c r="D56" i="10" s="1"/>
  <c r="E51" i="6"/>
  <c r="H28" i="8"/>
  <c r="I28" i="8" s="1"/>
  <c r="H27" i="8"/>
  <c r="I27" i="8" s="1"/>
  <c r="H37" i="8" s="1"/>
  <c r="I26" i="8"/>
  <c r="E16" i="11"/>
  <c r="E17" i="11" s="1"/>
  <c r="E18" i="11" s="1"/>
  <c r="E19" i="11" s="1"/>
  <c r="E20" i="11" s="1"/>
  <c r="E21" i="11" s="1"/>
  <c r="E22" i="11" s="1"/>
  <c r="E23" i="11" s="1"/>
  <c r="E24" i="11" s="1"/>
  <c r="E25" i="11" s="1"/>
  <c r="E26" i="11" s="1"/>
  <c r="E27" i="11" s="1"/>
  <c r="U7" i="10"/>
  <c r="N7" i="10" s="1"/>
  <c r="I25" i="10"/>
  <c r="D35" i="6"/>
  <c r="E46" i="6"/>
  <c r="C20" i="3" s="1"/>
  <c r="H33" i="6"/>
  <c r="D22" i="12" s="1"/>
  <c r="D24" i="6"/>
  <c r="H38" i="8" l="1"/>
  <c r="C20" i="12"/>
  <c r="I45" i="10"/>
  <c r="F262" i="11"/>
  <c r="F247" i="11"/>
  <c r="F73" i="11"/>
  <c r="F161" i="11"/>
  <c r="F160" i="11"/>
  <c r="F145" i="11"/>
  <c r="F28" i="11"/>
  <c r="F275" i="11"/>
  <c r="F182" i="11"/>
  <c r="F310" i="11"/>
  <c r="F139" i="11"/>
  <c r="F56" i="11"/>
  <c r="F72" i="11"/>
  <c r="F318" i="11"/>
  <c r="F165" i="11"/>
  <c r="F344" i="11"/>
  <c r="F227" i="11"/>
  <c r="F124" i="11"/>
  <c r="F339" i="11"/>
  <c r="F347" i="11"/>
  <c r="F69" i="11"/>
  <c r="F306" i="11"/>
  <c r="F293" i="11"/>
  <c r="F93" i="11"/>
  <c r="F352" i="11"/>
  <c r="F147" i="11"/>
  <c r="F137" i="11"/>
  <c r="F362" i="11"/>
  <c r="F21" i="11"/>
  <c r="F221" i="11"/>
  <c r="F301" i="11"/>
  <c r="F46" i="11"/>
  <c r="F314" i="11"/>
  <c r="F315" i="11"/>
  <c r="F246" i="11"/>
  <c r="F229" i="11"/>
  <c r="F67" i="11"/>
  <c r="F236" i="11"/>
  <c r="F241" i="11"/>
  <c r="F200" i="11"/>
  <c r="F17" i="11"/>
  <c r="F113" i="11"/>
  <c r="F9" i="11"/>
  <c r="F87" i="11"/>
  <c r="F48" i="11"/>
  <c r="F38" i="11"/>
  <c r="F234" i="11"/>
  <c r="F323" i="11"/>
  <c r="F316" i="11"/>
  <c r="F83" i="11"/>
  <c r="F300" i="11"/>
  <c r="F322" i="11"/>
  <c r="F177" i="11"/>
  <c r="F328" i="11"/>
  <c r="F363" i="11"/>
  <c r="F285" i="11"/>
  <c r="F248" i="11"/>
  <c r="F50" i="11"/>
  <c r="F304" i="11"/>
  <c r="F31" i="11"/>
  <c r="F279" i="11"/>
  <c r="F360" i="11"/>
  <c r="F116" i="11"/>
  <c r="F40" i="11"/>
  <c r="F212" i="11"/>
  <c r="F62" i="11"/>
  <c r="F273" i="11"/>
  <c r="F143" i="11"/>
  <c r="F119" i="11"/>
  <c r="F245" i="11"/>
  <c r="F331" i="11"/>
  <c r="F228" i="11"/>
  <c r="F249" i="11"/>
  <c r="F92" i="11"/>
  <c r="F204" i="11"/>
  <c r="F286" i="11"/>
  <c r="F103" i="11"/>
  <c r="F76" i="11"/>
  <c r="F269" i="11"/>
  <c r="F131" i="11"/>
  <c r="F128" i="11"/>
  <c r="F226" i="11"/>
  <c r="F213" i="11"/>
  <c r="F308" i="11"/>
  <c r="F112" i="11"/>
  <c r="F99" i="11"/>
  <c r="F107" i="11"/>
  <c r="F222" i="11"/>
  <c r="F281" i="11"/>
  <c r="F22" i="11"/>
  <c r="F39" i="11"/>
  <c r="F265" i="11"/>
  <c r="F205" i="11"/>
  <c r="F24" i="11"/>
  <c r="F45" i="11"/>
  <c r="F218" i="11"/>
  <c r="F199" i="11"/>
  <c r="F96" i="11"/>
  <c r="F278" i="11"/>
  <c r="F86" i="11"/>
  <c r="F168" i="11"/>
  <c r="F239" i="11"/>
  <c r="F255" i="11"/>
  <c r="F270" i="11"/>
  <c r="F350" i="11"/>
  <c r="F98" i="11"/>
  <c r="F151" i="11"/>
  <c r="F88" i="11"/>
  <c r="F263" i="11"/>
  <c r="F13" i="11"/>
  <c r="F253" i="11"/>
  <c r="F109" i="11"/>
  <c r="F127" i="11"/>
  <c r="F231" i="11"/>
  <c r="F280" i="11"/>
  <c r="F303" i="11"/>
  <c r="F337" i="11"/>
  <c r="F357" i="11"/>
  <c r="F183" i="11"/>
  <c r="F343" i="11"/>
  <c r="F132" i="11"/>
  <c r="F309" i="11"/>
  <c r="F311" i="11"/>
  <c r="F54" i="11"/>
  <c r="F353" i="11"/>
  <c r="F320" i="11"/>
  <c r="F302" i="11"/>
  <c r="F313" i="11"/>
  <c r="F12" i="11"/>
  <c r="F100" i="11"/>
  <c r="F101" i="11"/>
  <c r="F164" i="11"/>
  <c r="F191" i="11"/>
  <c r="F184" i="11"/>
  <c r="F90" i="11"/>
  <c r="F235" i="11"/>
  <c r="F257" i="11"/>
  <c r="F187" i="11"/>
  <c r="F133" i="11"/>
  <c r="F190" i="11"/>
  <c r="F44" i="11"/>
  <c r="F207" i="11"/>
  <c r="F210" i="11"/>
  <c r="F358" i="11"/>
  <c r="F180" i="11"/>
  <c r="F33" i="11"/>
  <c r="F251" i="11"/>
  <c r="F136" i="11"/>
  <c r="F232" i="11"/>
  <c r="F198" i="11"/>
  <c r="F359" i="11"/>
  <c r="F217" i="11"/>
  <c r="F47" i="11"/>
  <c r="F118" i="11"/>
  <c r="F102" i="11"/>
  <c r="F29" i="11"/>
  <c r="F170" i="11"/>
  <c r="F49" i="11"/>
  <c r="F126" i="11"/>
  <c r="F129" i="11"/>
  <c r="F173" i="11"/>
  <c r="F254" i="11"/>
  <c r="F82" i="11"/>
  <c r="F332" i="11"/>
  <c r="F6" i="11"/>
  <c r="F214" i="11"/>
  <c r="F356" i="11"/>
  <c r="F349" i="11"/>
  <c r="F104" i="11"/>
  <c r="F30" i="11"/>
  <c r="F348" i="11"/>
  <c r="F325" i="11"/>
  <c r="F166" i="11"/>
  <c r="F111" i="11"/>
  <c r="F122" i="11"/>
  <c r="F225" i="11"/>
  <c r="F85" i="11"/>
  <c r="F27" i="11"/>
  <c r="F63" i="11"/>
  <c r="F55" i="11"/>
  <c r="F81" i="11"/>
  <c r="F188" i="11"/>
  <c r="F172" i="11"/>
  <c r="F259" i="11"/>
  <c r="F282" i="11"/>
  <c r="F345" i="11"/>
  <c r="F74" i="11"/>
  <c r="F20" i="11"/>
  <c r="F163" i="11"/>
  <c r="F244" i="11"/>
  <c r="F61" i="11"/>
  <c r="F32" i="11"/>
  <c r="F181" i="11"/>
  <c r="F106" i="11"/>
  <c r="F152" i="11"/>
  <c r="F51" i="11"/>
  <c r="F16" i="11"/>
  <c r="F289" i="11"/>
  <c r="F287" i="11"/>
  <c r="F35" i="11"/>
  <c r="F4" i="11"/>
  <c r="G4" i="11" s="1"/>
  <c r="F156" i="11"/>
  <c r="F65" i="11"/>
  <c r="F148" i="11"/>
  <c r="F202" i="11"/>
  <c r="F208" i="11"/>
  <c r="F19" i="11"/>
  <c r="F340" i="11"/>
  <c r="F206" i="11"/>
  <c r="F175" i="11"/>
  <c r="F80" i="11"/>
  <c r="F211" i="11"/>
  <c r="F354" i="11"/>
  <c r="F117" i="11"/>
  <c r="F230" i="11"/>
  <c r="F290" i="11"/>
  <c r="F215" i="11"/>
  <c r="F41" i="11"/>
  <c r="F159" i="11"/>
  <c r="F138" i="11"/>
  <c r="F149" i="11"/>
  <c r="F335" i="11"/>
  <c r="F334" i="11"/>
  <c r="F36" i="11"/>
  <c r="F108" i="11"/>
  <c r="F153" i="11"/>
  <c r="F121" i="11"/>
  <c r="F209" i="11"/>
  <c r="F330" i="11"/>
  <c r="F142" i="11"/>
  <c r="F77" i="11"/>
  <c r="F174" i="11"/>
  <c r="F346" i="11"/>
  <c r="F355" i="11"/>
  <c r="F260" i="11"/>
  <c r="F272" i="11"/>
  <c r="F258" i="11"/>
  <c r="F321" i="11"/>
  <c r="F5" i="11"/>
  <c r="F324" i="11"/>
  <c r="F89" i="11"/>
  <c r="F274" i="11"/>
  <c r="F264" i="11"/>
  <c r="F186" i="11"/>
  <c r="F26" i="11"/>
  <c r="F197" i="11"/>
  <c r="F305" i="11"/>
  <c r="F276" i="11"/>
  <c r="F14" i="11"/>
  <c r="F64" i="11"/>
  <c r="F261" i="11"/>
  <c r="F123" i="11"/>
  <c r="F95" i="11"/>
  <c r="F8" i="11"/>
  <c r="F25" i="11"/>
  <c r="F52" i="11"/>
  <c r="F220" i="11"/>
  <c r="F57" i="11"/>
  <c r="F312" i="11"/>
  <c r="F267" i="11"/>
  <c r="F162" i="11"/>
  <c r="F329" i="11"/>
  <c r="F130" i="11"/>
  <c r="F34" i="11"/>
  <c r="F10" i="11"/>
  <c r="F194" i="11"/>
  <c r="F271" i="11"/>
  <c r="F317" i="11"/>
  <c r="F75" i="11"/>
  <c r="F150" i="11"/>
  <c r="F120" i="11"/>
  <c r="F252" i="11"/>
  <c r="F154" i="11"/>
  <c r="F333" i="11"/>
  <c r="F60" i="11"/>
  <c r="F243" i="11"/>
  <c r="F268" i="11"/>
  <c r="F326" i="11"/>
  <c r="F78" i="11"/>
  <c r="F201" i="11"/>
  <c r="F233" i="11"/>
  <c r="F71" i="11"/>
  <c r="F141" i="11"/>
  <c r="F195" i="11"/>
  <c r="F237" i="11"/>
  <c r="F94" i="11"/>
  <c r="F250" i="11"/>
  <c r="F11" i="11"/>
  <c r="F84" i="11"/>
  <c r="F298" i="11"/>
  <c r="F224" i="11"/>
  <c r="F179" i="11"/>
  <c r="F158" i="11"/>
  <c r="F291" i="11"/>
  <c r="F192" i="11"/>
  <c r="F238" i="11"/>
  <c r="F135" i="11"/>
  <c r="F68" i="11"/>
  <c r="F297" i="11"/>
  <c r="F167" i="11"/>
  <c r="F105" i="11"/>
  <c r="F242" i="11"/>
  <c r="F295" i="11"/>
  <c r="F292" i="11"/>
  <c r="F203" i="11"/>
  <c r="F296" i="11"/>
  <c r="F146" i="11"/>
  <c r="F15" i="11"/>
  <c r="F37" i="11"/>
  <c r="F299" i="11"/>
  <c r="F178" i="11"/>
  <c r="F155" i="11"/>
  <c r="F42" i="11"/>
  <c r="F338" i="11"/>
  <c r="F134" i="11"/>
  <c r="F23" i="11"/>
  <c r="F79" i="11"/>
  <c r="F361" i="11"/>
  <c r="F97" i="11"/>
  <c r="F7" i="11"/>
  <c r="F351" i="11"/>
  <c r="F240" i="11"/>
  <c r="F58" i="11"/>
  <c r="F140" i="11"/>
  <c r="F125" i="11"/>
  <c r="F277" i="11"/>
  <c r="F91" i="11"/>
  <c r="F171" i="11"/>
  <c r="F288" i="11"/>
  <c r="F266" i="11"/>
  <c r="F216" i="11"/>
  <c r="F341" i="11"/>
  <c r="F185" i="11"/>
  <c r="F43" i="11"/>
  <c r="F342" i="11"/>
  <c r="F70" i="11"/>
  <c r="F144" i="11"/>
  <c r="F283" i="11"/>
  <c r="F219" i="11"/>
  <c r="F18" i="11"/>
  <c r="F284" i="11"/>
  <c r="F169" i="11"/>
  <c r="F115" i="11"/>
  <c r="F336" i="11"/>
  <c r="F176" i="11"/>
  <c r="F319" i="11"/>
  <c r="F196" i="11"/>
  <c r="F189" i="11"/>
  <c r="F294" i="11"/>
  <c r="F223" i="11"/>
  <c r="F53" i="11"/>
  <c r="F114" i="11"/>
  <c r="F193" i="11"/>
  <c r="F157" i="11"/>
  <c r="F66" i="11"/>
  <c r="F307" i="11"/>
  <c r="F256" i="11"/>
  <c r="F59" i="11"/>
  <c r="F110" i="11"/>
  <c r="F327" i="11"/>
  <c r="I27" i="10"/>
  <c r="I26" i="10"/>
  <c r="X19" i="8"/>
  <c r="Z19" i="8" s="1"/>
  <c r="X7" i="8"/>
  <c r="Z7" i="8" s="1"/>
  <c r="X18" i="8"/>
  <c r="Z18" i="8" s="1"/>
  <c r="X17" i="8"/>
  <c r="Z17" i="8" s="1"/>
  <c r="X36" i="8"/>
  <c r="X16" i="8"/>
  <c r="Z16" i="8" s="1"/>
  <c r="X35" i="8"/>
  <c r="X15" i="8"/>
  <c r="Z15" i="8" s="1"/>
  <c r="X34" i="8"/>
  <c r="X14" i="8"/>
  <c r="Z14" i="8" s="1"/>
  <c r="X33" i="8"/>
  <c r="X13" i="8"/>
  <c r="Z13" i="8" s="1"/>
  <c r="X32" i="8"/>
  <c r="X12" i="8"/>
  <c r="Z12" i="8" s="1"/>
  <c r="X31" i="8"/>
  <c r="X11" i="8"/>
  <c r="Z11" i="8" s="1"/>
  <c r="X30" i="8"/>
  <c r="X10" i="8"/>
  <c r="Z10" i="8" s="1"/>
  <c r="X29" i="8"/>
  <c r="X9" i="8"/>
  <c r="Z9" i="8" s="1"/>
  <c r="X28" i="8"/>
  <c r="X8" i="8"/>
  <c r="Z8" i="8" s="1"/>
  <c r="X27" i="8"/>
  <c r="X26" i="8"/>
  <c r="X25" i="8"/>
  <c r="X24" i="8"/>
  <c r="X23" i="8"/>
  <c r="X22" i="8"/>
  <c r="X21" i="8"/>
  <c r="Z21" i="8" s="1"/>
  <c r="X20" i="8"/>
  <c r="Z20" i="8" s="1"/>
  <c r="H25" i="10"/>
  <c r="E28" i="11"/>
  <c r="E29" i="11" s="1"/>
  <c r="E30" i="11" s="1"/>
  <c r="E31" i="11" s="1"/>
  <c r="E32" i="11" s="1"/>
  <c r="E33" i="11" s="1"/>
  <c r="E34" i="11" s="1"/>
  <c r="E35" i="11" s="1"/>
  <c r="E36" i="11" s="1"/>
  <c r="E37" i="11" s="1"/>
  <c r="E38" i="11" s="1"/>
  <c r="E39" i="11" s="1"/>
  <c r="U8" i="10"/>
  <c r="N8" i="10" s="1"/>
  <c r="H37" i="6"/>
  <c r="D40" i="6"/>
  <c r="S16" i="6" s="1"/>
  <c r="R25" i="6"/>
  <c r="R36" i="6"/>
  <c r="R31" i="6"/>
  <c r="R11" i="6"/>
  <c r="R18" i="6"/>
  <c r="R27" i="6"/>
  <c r="R19" i="6"/>
  <c r="R14" i="6"/>
  <c r="R16" i="6"/>
  <c r="R12" i="6"/>
  <c r="R35" i="6"/>
  <c r="R21" i="6"/>
  <c r="R20" i="6"/>
  <c r="R17" i="6"/>
  <c r="R26" i="6"/>
  <c r="R10" i="6"/>
  <c r="R29" i="6"/>
  <c r="R34" i="6"/>
  <c r="R8" i="6"/>
  <c r="R7" i="6"/>
  <c r="R22" i="6"/>
  <c r="R30" i="6"/>
  <c r="R32" i="6"/>
  <c r="R13" i="6"/>
  <c r="R9" i="6"/>
  <c r="R33" i="6"/>
  <c r="R23" i="6"/>
  <c r="R15" i="6"/>
  <c r="R28" i="6"/>
  <c r="R24" i="6"/>
  <c r="G5" i="11" l="1"/>
  <c r="G6" i="11" s="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H34" i="10" s="1"/>
  <c r="E21" i="12" s="1"/>
  <c r="H27" i="10"/>
  <c r="D28" i="10" s="1"/>
  <c r="H26" i="10"/>
  <c r="W25" i="10"/>
  <c r="W26" i="10"/>
  <c r="W7" i="10"/>
  <c r="W27" i="10"/>
  <c r="W8" i="10"/>
  <c r="W28" i="10"/>
  <c r="W9" i="10"/>
  <c r="W29" i="10"/>
  <c r="W10" i="10"/>
  <c r="W30" i="10"/>
  <c r="W11" i="10"/>
  <c r="W31" i="10"/>
  <c r="W12" i="10"/>
  <c r="W32" i="10"/>
  <c r="W33" i="10"/>
  <c r="W14" i="10"/>
  <c r="W34" i="10"/>
  <c r="W15" i="10"/>
  <c r="W35" i="10"/>
  <c r="W16" i="10"/>
  <c r="W36" i="10"/>
  <c r="W17" i="10"/>
  <c r="W18" i="10"/>
  <c r="W19" i="10"/>
  <c r="W20" i="10"/>
  <c r="W21" i="10"/>
  <c r="W22" i="10"/>
  <c r="W24" i="10"/>
  <c r="W23" i="10"/>
  <c r="W13" i="10"/>
  <c r="C167" i="4"/>
  <c r="B127" i="4"/>
  <c r="C355" i="4"/>
  <c r="C148" i="4"/>
  <c r="B326" i="4"/>
  <c r="B83" i="4"/>
  <c r="B268" i="4"/>
  <c r="C166" i="4"/>
  <c r="C271" i="4"/>
  <c r="B280" i="4"/>
  <c r="B71" i="4"/>
  <c r="B6" i="4"/>
  <c r="B346" i="4"/>
  <c r="C219" i="4"/>
  <c r="C259" i="4"/>
  <c r="C353" i="4"/>
  <c r="B271" i="4"/>
  <c r="C125" i="4"/>
  <c r="S18" i="6"/>
  <c r="C322" i="4"/>
  <c r="C204" i="4"/>
  <c r="C296" i="4"/>
  <c r="C295" i="4"/>
  <c r="B143" i="4"/>
  <c r="B75" i="4"/>
  <c r="B53" i="4"/>
  <c r="B112" i="4"/>
  <c r="B224" i="4"/>
  <c r="C317" i="4"/>
  <c r="B105" i="4"/>
  <c r="S23" i="6"/>
  <c r="B353" i="4"/>
  <c r="C199" i="4"/>
  <c r="B197" i="4"/>
  <c r="B341" i="4"/>
  <c r="C44" i="4"/>
  <c r="C291" i="4"/>
  <c r="C184" i="4"/>
  <c r="C258" i="4"/>
  <c r="C153" i="4"/>
  <c r="C12" i="4"/>
  <c r="C267" i="4"/>
  <c r="B347" i="4"/>
  <c r="C45" i="4"/>
  <c r="B216" i="4"/>
  <c r="B96" i="4"/>
  <c r="C15" i="4"/>
  <c r="B258" i="4"/>
  <c r="C143" i="4"/>
  <c r="B102" i="4"/>
  <c r="C26" i="4"/>
  <c r="C363" i="4"/>
  <c r="C52" i="4"/>
  <c r="C69" i="4"/>
  <c r="C361" i="4"/>
  <c r="C112" i="4"/>
  <c r="C315" i="4"/>
  <c r="C27" i="4"/>
  <c r="C334" i="4"/>
  <c r="C320" i="4"/>
  <c r="B121" i="4"/>
  <c r="C203" i="4"/>
  <c r="C193" i="4"/>
  <c r="B340" i="4"/>
  <c r="C55" i="4"/>
  <c r="C136" i="4"/>
  <c r="B362" i="4"/>
  <c r="B331" i="4"/>
  <c r="C303" i="4"/>
  <c r="C265" i="4"/>
  <c r="S20" i="6"/>
  <c r="B82" i="4"/>
  <c r="C152" i="4"/>
  <c r="B315" i="4"/>
  <c r="C4" i="4"/>
  <c r="C360" i="4"/>
  <c r="B120" i="4"/>
  <c r="B11" i="4"/>
  <c r="B261" i="4"/>
  <c r="C175" i="4"/>
  <c r="B95" i="4"/>
  <c r="C62" i="4"/>
  <c r="C302" i="4"/>
  <c r="S7" i="6"/>
  <c r="C173" i="4"/>
  <c r="B164" i="4"/>
  <c r="C326" i="4"/>
  <c r="C285" i="4"/>
  <c r="B10" i="4"/>
  <c r="C24" i="4"/>
  <c r="C83" i="4"/>
  <c r="B136" i="4"/>
  <c r="C298" i="4"/>
  <c r="S14" i="6"/>
  <c r="B253" i="4"/>
  <c r="B25" i="4"/>
  <c r="B32" i="4"/>
  <c r="C309" i="4"/>
  <c r="C161" i="4"/>
  <c r="C230" i="4"/>
  <c r="B262" i="4"/>
  <c r="B241" i="4"/>
  <c r="B281" i="4"/>
  <c r="C176" i="4"/>
  <c r="C60" i="4"/>
  <c r="C11" i="4"/>
  <c r="B259" i="4"/>
  <c r="B109" i="4"/>
  <c r="D43" i="6"/>
  <c r="E43" i="6" s="1"/>
  <c r="E45" i="6" s="1"/>
  <c r="E48" i="6" s="1"/>
  <c r="E55" i="6" s="1"/>
  <c r="H45" i="6" s="1"/>
  <c r="B295" i="4"/>
  <c r="C92" i="4"/>
  <c r="B205" i="4"/>
  <c r="B37" i="4"/>
  <c r="B245" i="4"/>
  <c r="B323" i="4"/>
  <c r="B343" i="4"/>
  <c r="B339" i="4"/>
  <c r="B77" i="4"/>
  <c r="C297" i="4"/>
  <c r="B140" i="4"/>
  <c r="B319" i="4"/>
  <c r="C66" i="4"/>
  <c r="B65" i="4"/>
  <c r="C231" i="4"/>
  <c r="C287" i="4"/>
  <c r="B137" i="4"/>
  <c r="B252" i="4"/>
  <c r="B254" i="4"/>
  <c r="B15" i="4"/>
  <c r="B46" i="4"/>
  <c r="C239" i="4"/>
  <c r="B72" i="4"/>
  <c r="B142" i="4"/>
  <c r="B356" i="4"/>
  <c r="C127" i="4"/>
  <c r="C223" i="4"/>
  <c r="B351" i="4"/>
  <c r="C40" i="4"/>
  <c r="C73" i="4"/>
  <c r="S8" i="6"/>
  <c r="B284" i="4"/>
  <c r="B276" i="4"/>
  <c r="C308" i="4"/>
  <c r="C311" i="4"/>
  <c r="B91" i="4"/>
  <c r="C293" i="4"/>
  <c r="B269" i="4"/>
  <c r="C189" i="4"/>
  <c r="C87" i="4"/>
  <c r="C67" i="4"/>
  <c r="B89" i="4"/>
  <c r="C157" i="4"/>
  <c r="C213" i="4"/>
  <c r="C163" i="4"/>
  <c r="C135" i="4"/>
  <c r="S35" i="6"/>
  <c r="B211" i="4"/>
  <c r="B100" i="4"/>
  <c r="C359" i="4"/>
  <c r="C180" i="4"/>
  <c r="C208" i="4"/>
  <c r="C236" i="4"/>
  <c r="B337" i="4"/>
  <c r="B214" i="4"/>
  <c r="B342" i="4"/>
  <c r="C123" i="4"/>
  <c r="C9" i="4"/>
  <c r="C97" i="4"/>
  <c r="S33" i="6"/>
  <c r="B151" i="4"/>
  <c r="C23" i="4"/>
  <c r="B233" i="4"/>
  <c r="C319" i="4"/>
  <c r="C299" i="4"/>
  <c r="S10" i="6"/>
  <c r="B250" i="4"/>
  <c r="C327" i="4"/>
  <c r="C159" i="4"/>
  <c r="B119" i="4"/>
  <c r="C307" i="4"/>
  <c r="B129" i="4"/>
  <c r="H43" i="8"/>
  <c r="B355" i="4"/>
  <c r="B30" i="4"/>
  <c r="B88" i="4"/>
  <c r="B195" i="4"/>
  <c r="C171" i="4"/>
  <c r="C284" i="4"/>
  <c r="C124" i="4"/>
  <c r="B345" i="4"/>
  <c r="B16" i="4"/>
  <c r="B181" i="4"/>
  <c r="C17" i="4"/>
  <c r="B180" i="4"/>
  <c r="C207" i="4"/>
  <c r="C316" i="4"/>
  <c r="C58" i="4"/>
  <c r="B154" i="4"/>
  <c r="B134" i="4"/>
  <c r="S31" i="6"/>
  <c r="B286" i="4"/>
  <c r="B231" i="4"/>
  <c r="C237" i="4"/>
  <c r="B294" i="4"/>
  <c r="B50" i="4"/>
  <c r="C226" i="4"/>
  <c r="B300" i="4"/>
  <c r="B196" i="4"/>
  <c r="B352" i="4"/>
  <c r="B320" i="4"/>
  <c r="S24" i="6"/>
  <c r="B240" i="4"/>
  <c r="C174" i="4"/>
  <c r="C42" i="4"/>
  <c r="C50" i="4"/>
  <c r="C257" i="4"/>
  <c r="S29" i="6"/>
  <c r="B158" i="4"/>
  <c r="B156" i="4"/>
  <c r="C337" i="4"/>
  <c r="C242" i="4"/>
  <c r="C206" i="4"/>
  <c r="C76" i="4"/>
  <c r="C34" i="4"/>
  <c r="C186" i="4"/>
  <c r="B183" i="4"/>
  <c r="B360" i="4"/>
  <c r="C106" i="4"/>
  <c r="C300" i="4"/>
  <c r="B328" i="4"/>
  <c r="B47" i="4"/>
  <c r="C357" i="4"/>
  <c r="B108" i="4"/>
  <c r="B153" i="4"/>
  <c r="C248" i="4"/>
  <c r="B209" i="4"/>
  <c r="B168" i="4"/>
  <c r="C89" i="4"/>
  <c r="B63" i="4"/>
  <c r="B264" i="4"/>
  <c r="B21" i="4"/>
  <c r="B225" i="4"/>
  <c r="S28" i="6"/>
  <c r="B171" i="4"/>
  <c r="C201" i="4"/>
  <c r="C352" i="4"/>
  <c r="C289" i="4"/>
  <c r="C7" i="4"/>
  <c r="C253" i="4"/>
  <c r="B43" i="4"/>
  <c r="B313" i="4"/>
  <c r="B44" i="4"/>
  <c r="C29" i="4"/>
  <c r="B22" i="4"/>
  <c r="C115" i="4"/>
  <c r="B24" i="4"/>
  <c r="C162" i="4"/>
  <c r="B242" i="4"/>
  <c r="B124" i="4"/>
  <c r="B116" i="4"/>
  <c r="B335" i="4"/>
  <c r="B93" i="4"/>
  <c r="C32" i="4"/>
  <c r="C111" i="4"/>
  <c r="B266" i="4"/>
  <c r="B60" i="4"/>
  <c r="C98" i="4"/>
  <c r="B20" i="4"/>
  <c r="B45" i="4"/>
  <c r="C25" i="4"/>
  <c r="B229" i="4"/>
  <c r="B122" i="4"/>
  <c r="B178" i="4"/>
  <c r="B306" i="4"/>
  <c r="S32" i="6"/>
  <c r="B34" i="4"/>
  <c r="B279" i="4"/>
  <c r="C38" i="4"/>
  <c r="B5" i="4"/>
  <c r="B132" i="4"/>
  <c r="C211" i="4"/>
  <c r="C263" i="4"/>
  <c r="C160" i="4"/>
  <c r="C288" i="4"/>
  <c r="C356" i="4"/>
  <c r="C275" i="4"/>
  <c r="B29" i="4"/>
  <c r="B55" i="4"/>
  <c r="B28" i="4"/>
  <c r="B324" i="4"/>
  <c r="B148" i="4"/>
  <c r="B204" i="4"/>
  <c r="B309" i="4"/>
  <c r="B222" i="4"/>
  <c r="B237" i="4"/>
  <c r="C305" i="4"/>
  <c r="B223" i="4"/>
  <c r="B321" i="4"/>
  <c r="B212" i="4"/>
  <c r="B220" i="4"/>
  <c r="C36" i="4"/>
  <c r="C268" i="4"/>
  <c r="C110" i="4"/>
  <c r="C350" i="4"/>
  <c r="B160" i="4"/>
  <c r="C282" i="4"/>
  <c r="C286" i="4"/>
  <c r="B169" i="4"/>
  <c r="C183" i="4"/>
  <c r="B98" i="4"/>
  <c r="B19" i="4"/>
  <c r="B357" i="4"/>
  <c r="D357" i="4" s="1"/>
  <c r="B61" i="4"/>
  <c r="C304" i="4"/>
  <c r="C210" i="4"/>
  <c r="B176" i="4"/>
  <c r="C146" i="4"/>
  <c r="B208" i="4"/>
  <c r="B226" i="4"/>
  <c r="B334" i="4"/>
  <c r="C238" i="4"/>
  <c r="C273" i="4"/>
  <c r="C196" i="4"/>
  <c r="B260" i="4"/>
  <c r="B221" i="4"/>
  <c r="B182" i="4"/>
  <c r="B251" i="4"/>
  <c r="B296" i="4"/>
  <c r="B297" i="4"/>
  <c r="B62" i="4"/>
  <c r="B193" i="4"/>
  <c r="C117" i="4"/>
  <c r="B31" i="4"/>
  <c r="C252" i="4"/>
  <c r="C86" i="4"/>
  <c r="C228" i="4"/>
  <c r="B186" i="4"/>
  <c r="C169" i="4"/>
  <c r="C140" i="4"/>
  <c r="B307" i="4"/>
  <c r="B152" i="4"/>
  <c r="C33" i="4"/>
  <c r="C105" i="4"/>
  <c r="C70" i="4"/>
  <c r="C224" i="4"/>
  <c r="C118" i="4"/>
  <c r="S25" i="6"/>
  <c r="C47" i="4"/>
  <c r="B283" i="4"/>
  <c r="C274" i="4"/>
  <c r="B92" i="4"/>
  <c r="C235" i="4"/>
  <c r="B198" i="4"/>
  <c r="B219" i="4"/>
  <c r="B246" i="4"/>
  <c r="C39" i="4"/>
  <c r="C14" i="4"/>
  <c r="C145" i="4"/>
  <c r="C142" i="4"/>
  <c r="B113" i="4"/>
  <c r="B359" i="4"/>
  <c r="B35" i="4"/>
  <c r="B230" i="4"/>
  <c r="C338" i="4"/>
  <c r="B305" i="4"/>
  <c r="C187" i="4"/>
  <c r="B86" i="4"/>
  <c r="B287" i="4"/>
  <c r="C82" i="4"/>
  <c r="B49" i="4"/>
  <c r="B236" i="4"/>
  <c r="B257" i="4"/>
  <c r="B94" i="4"/>
  <c r="B304" i="4"/>
  <c r="C109" i="4"/>
  <c r="S36" i="6"/>
  <c r="C200" i="4"/>
  <c r="B265" i="4"/>
  <c r="C294" i="4"/>
  <c r="C260" i="4"/>
  <c r="B41" i="4"/>
  <c r="B202" i="4"/>
  <c r="C35" i="4"/>
  <c r="C225" i="4"/>
  <c r="C99" i="4"/>
  <c r="C56" i="4"/>
  <c r="B59" i="4"/>
  <c r="C37" i="4"/>
  <c r="B117" i="4"/>
  <c r="C137" i="4"/>
  <c r="B125" i="4"/>
  <c r="C132" i="4"/>
  <c r="C261" i="4"/>
  <c r="C216" i="4"/>
  <c r="C240" i="4"/>
  <c r="S19" i="6"/>
  <c r="B78" i="4"/>
  <c r="B74" i="4"/>
  <c r="B179" i="4"/>
  <c r="C88" i="4"/>
  <c r="S17" i="6"/>
  <c r="C141" i="4"/>
  <c r="C120" i="4"/>
  <c r="C272" i="4"/>
  <c r="C80" i="4"/>
  <c r="C95" i="4"/>
  <c r="B13" i="4"/>
  <c r="B111" i="4"/>
  <c r="C241" i="4"/>
  <c r="C254" i="4"/>
  <c r="C330" i="4"/>
  <c r="C229" i="4"/>
  <c r="C250" i="4"/>
  <c r="C331" i="4"/>
  <c r="C188" i="4"/>
  <c r="B338" i="4"/>
  <c r="B332" i="4"/>
  <c r="B126" i="4"/>
  <c r="C71" i="4"/>
  <c r="C28" i="4"/>
  <c r="B206" i="4"/>
  <c r="C114" i="4"/>
  <c r="B201" i="4"/>
  <c r="B162" i="4"/>
  <c r="C30" i="4"/>
  <c r="S12" i="6"/>
  <c r="C220" i="4"/>
  <c r="C151" i="4"/>
  <c r="B147" i="4"/>
  <c r="C349" i="4"/>
  <c r="C134" i="4"/>
  <c r="B36" i="4"/>
  <c r="B69" i="4"/>
  <c r="B191" i="4"/>
  <c r="C96" i="4"/>
  <c r="C262" i="4"/>
  <c r="C306" i="4"/>
  <c r="C313" i="4"/>
  <c r="C264" i="4"/>
  <c r="B146" i="4"/>
  <c r="B42" i="4"/>
  <c r="B228" i="4"/>
  <c r="C178" i="4"/>
  <c r="C121" i="4"/>
  <c r="C144" i="4"/>
  <c r="C179" i="4"/>
  <c r="C197" i="4"/>
  <c r="B277" i="4"/>
  <c r="B325" i="4"/>
  <c r="C85" i="4"/>
  <c r="C72" i="4"/>
  <c r="C49" i="4"/>
  <c r="C172" i="4"/>
  <c r="B314" i="4"/>
  <c r="B278" i="4"/>
  <c r="B192" i="4"/>
  <c r="C251" i="4"/>
  <c r="S26" i="6"/>
  <c r="C218" i="4"/>
  <c r="C181" i="4"/>
  <c r="B145" i="4"/>
  <c r="C165" i="4"/>
  <c r="B185" i="4"/>
  <c r="B135" i="4"/>
  <c r="C212" i="4"/>
  <c r="B175" i="4"/>
  <c r="C351" i="4"/>
  <c r="C53" i="4"/>
  <c r="C278" i="4"/>
  <c r="B70" i="4"/>
  <c r="B51" i="4"/>
  <c r="B273" i="4"/>
  <c r="B301" i="4"/>
  <c r="C321" i="4"/>
  <c r="C310" i="4"/>
  <c r="C191" i="4"/>
  <c r="C346" i="4"/>
  <c r="B232" i="4"/>
  <c r="C57" i="4"/>
  <c r="C279" i="4"/>
  <c r="C22" i="4"/>
  <c r="C48" i="4"/>
  <c r="B322" i="4"/>
  <c r="C190" i="4"/>
  <c r="B275" i="4"/>
  <c r="C93" i="4"/>
  <c r="C232" i="4"/>
  <c r="B40" i="4"/>
  <c r="B144" i="4"/>
  <c r="B330" i="4"/>
  <c r="B118" i="4"/>
  <c r="B115" i="4"/>
  <c r="C358" i="4"/>
  <c r="B33" i="4"/>
  <c r="B350" i="4"/>
  <c r="B138" i="4"/>
  <c r="C221" i="4"/>
  <c r="B289" i="4"/>
  <c r="B310" i="4"/>
  <c r="B85" i="4"/>
  <c r="B354" i="4"/>
  <c r="B4" i="4"/>
  <c r="C94" i="4"/>
  <c r="B263" i="4"/>
  <c r="C340" i="4"/>
  <c r="B167" i="4"/>
  <c r="C269" i="4"/>
  <c r="B239" i="4"/>
  <c r="C215" i="4"/>
  <c r="B217" i="4"/>
  <c r="B194" i="4"/>
  <c r="C325" i="4"/>
  <c r="C8" i="4"/>
  <c r="B128" i="4"/>
  <c r="C247" i="4"/>
  <c r="C341" i="4"/>
  <c r="B270" i="4"/>
  <c r="C131" i="4"/>
  <c r="B26" i="4"/>
  <c r="B358" i="4"/>
  <c r="C78" i="4"/>
  <c r="B344" i="4"/>
  <c r="B56" i="4"/>
  <c r="B139" i="4"/>
  <c r="B48" i="4"/>
  <c r="B76" i="4"/>
  <c r="C65" i="4"/>
  <c r="B292" i="4"/>
  <c r="B333" i="4"/>
  <c r="C150" i="4"/>
  <c r="C185" i="4"/>
  <c r="C217" i="4"/>
  <c r="B285" i="4"/>
  <c r="B170" i="4"/>
  <c r="B244" i="4"/>
  <c r="B150" i="4"/>
  <c r="B336" i="4"/>
  <c r="C318" i="4"/>
  <c r="B282" i="4"/>
  <c r="C147" i="4"/>
  <c r="C332" i="4"/>
  <c r="C5" i="4"/>
  <c r="C68" i="4"/>
  <c r="B107" i="4"/>
  <c r="C243" i="4"/>
  <c r="C149" i="4"/>
  <c r="B58" i="4"/>
  <c r="C323" i="4"/>
  <c r="B190" i="4"/>
  <c r="B291" i="4"/>
  <c r="B349" i="4"/>
  <c r="C222" i="4"/>
  <c r="B213" i="4"/>
  <c r="C343" i="4"/>
  <c r="B68" i="4"/>
  <c r="B348" i="4"/>
  <c r="C102" i="4"/>
  <c r="C20" i="4"/>
  <c r="C51" i="4"/>
  <c r="B311" i="4"/>
  <c r="C130" i="4"/>
  <c r="C202" i="4"/>
  <c r="C91" i="4"/>
  <c r="C347" i="4"/>
  <c r="C209" i="4"/>
  <c r="B104" i="4"/>
  <c r="B238" i="4"/>
  <c r="C16" i="4"/>
  <c r="C266" i="4"/>
  <c r="B290" i="4"/>
  <c r="B247" i="4"/>
  <c r="B130" i="4"/>
  <c r="B114" i="4"/>
  <c r="B235" i="4"/>
  <c r="B318" i="4"/>
  <c r="B97" i="4"/>
  <c r="C198" i="4"/>
  <c r="B67" i="4"/>
  <c r="B23" i="4"/>
  <c r="C182" i="4"/>
  <c r="C333" i="4"/>
  <c r="C77" i="4"/>
  <c r="B27" i="4"/>
  <c r="C21" i="4"/>
  <c r="C103" i="4"/>
  <c r="C280" i="4"/>
  <c r="B90" i="4"/>
  <c r="C276" i="4"/>
  <c r="B106" i="4"/>
  <c r="B81" i="4"/>
  <c r="B38" i="4"/>
  <c r="B177" i="4"/>
  <c r="B361" i="4"/>
  <c r="C79" i="4"/>
  <c r="B166" i="4"/>
  <c r="B110" i="4"/>
  <c r="C81" i="4"/>
  <c r="B73" i="4"/>
  <c r="B299" i="4"/>
  <c r="C113" i="4"/>
  <c r="D113" i="4" s="1"/>
  <c r="B8" i="4"/>
  <c r="C133" i="4"/>
  <c r="C13" i="4"/>
  <c r="C63" i="4"/>
  <c r="B188" i="4"/>
  <c r="C256" i="4"/>
  <c r="S22" i="6"/>
  <c r="B363" i="4"/>
  <c r="B18" i="4"/>
  <c r="B234" i="4"/>
  <c r="B249" i="4"/>
  <c r="B54" i="4"/>
  <c r="C46" i="4"/>
  <c r="C31" i="4"/>
  <c r="C336" i="4"/>
  <c r="B308" i="4"/>
  <c r="B66" i="4"/>
  <c r="B255" i="4"/>
  <c r="C104" i="4"/>
  <c r="B288" i="4"/>
  <c r="S11" i="6"/>
  <c r="B161" i="4"/>
  <c r="B57" i="4"/>
  <c r="B248" i="4"/>
  <c r="C155" i="4"/>
  <c r="B256" i="4"/>
  <c r="B101" i="4"/>
  <c r="C6" i="4"/>
  <c r="B133" i="4"/>
  <c r="S9" i="6"/>
  <c r="C75" i="4"/>
  <c r="C312" i="4"/>
  <c r="C292" i="4"/>
  <c r="C168" i="4"/>
  <c r="B14" i="4"/>
  <c r="C129" i="4"/>
  <c r="C43" i="4"/>
  <c r="B99" i="4"/>
  <c r="B173" i="4"/>
  <c r="B199" i="4"/>
  <c r="B79" i="4"/>
  <c r="C339" i="4"/>
  <c r="C59" i="4"/>
  <c r="B274" i="4"/>
  <c r="B184" i="4"/>
  <c r="B7" i="4"/>
  <c r="C344" i="4"/>
  <c r="B272" i="4"/>
  <c r="C119" i="4"/>
  <c r="B149" i="4"/>
  <c r="S15" i="6"/>
  <c r="C328" i="4"/>
  <c r="B218" i="4"/>
  <c r="B172" i="4"/>
  <c r="B103" i="4"/>
  <c r="B302" i="4"/>
  <c r="B215" i="4"/>
  <c r="C158" i="4"/>
  <c r="B200" i="4"/>
  <c r="S13" i="6"/>
  <c r="B243" i="4"/>
  <c r="C362" i="4"/>
  <c r="B9" i="4"/>
  <c r="C283" i="4"/>
  <c r="C156" i="4"/>
  <c r="C234" i="4"/>
  <c r="B39" i="4"/>
  <c r="C10" i="4"/>
  <c r="C128" i="4"/>
  <c r="B84" i="4"/>
  <c r="C170" i="4"/>
  <c r="B316" i="4"/>
  <c r="C100" i="4"/>
  <c r="C107" i="4"/>
  <c r="C122" i="4"/>
  <c r="C64" i="4"/>
  <c r="B293" i="4"/>
  <c r="B187" i="4"/>
  <c r="B159" i="4"/>
  <c r="B298" i="4"/>
  <c r="B123" i="4"/>
  <c r="C348" i="4"/>
  <c r="C61" i="4"/>
  <c r="B189" i="4"/>
  <c r="B87" i="4"/>
  <c r="C329" i="4"/>
  <c r="C18" i="3"/>
  <c r="C21" i="3" s="1"/>
  <c r="C23" i="3" s="1"/>
  <c r="C28" i="3" s="1"/>
  <c r="D36" i="10" s="1"/>
  <c r="B52" i="4"/>
  <c r="S27" i="6"/>
  <c r="C108" i="4"/>
  <c r="C214" i="4"/>
  <c r="B317" i="4"/>
  <c r="B207" i="4"/>
  <c r="B203" i="4"/>
  <c r="B17" i="4"/>
  <c r="B12" i="4"/>
  <c r="B327" i="4"/>
  <c r="B157" i="4"/>
  <c r="S21" i="6"/>
  <c r="C101" i="4"/>
  <c r="C154" i="4"/>
  <c r="C233" i="4"/>
  <c r="C195" i="4"/>
  <c r="C54" i="4"/>
  <c r="B131" i="4"/>
  <c r="B174" i="4"/>
  <c r="C194" i="4"/>
  <c r="C249" i="4"/>
  <c r="B163" i="4"/>
  <c r="B267" i="4"/>
  <c r="C324" i="4"/>
  <c r="C177" i="4"/>
  <c r="B80" i="4"/>
  <c r="C84" i="4"/>
  <c r="B165" i="4"/>
  <c r="C255" i="4"/>
  <c r="C18" i="4"/>
  <c r="C74" i="4"/>
  <c r="C301" i="4"/>
  <c r="C244" i="4"/>
  <c r="S34" i="6"/>
  <c r="C281" i="4"/>
  <c r="B155" i="4"/>
  <c r="C164" i="4"/>
  <c r="B312" i="4"/>
  <c r="B329" i="4"/>
  <c r="B303" i="4"/>
  <c r="C227" i="4"/>
  <c r="B227" i="4"/>
  <c r="C335" i="4"/>
  <c r="C90" i="4"/>
  <c r="B210" i="4"/>
  <c r="C192" i="4"/>
  <c r="B64" i="4"/>
  <c r="C342" i="4"/>
  <c r="B141" i="4"/>
  <c r="C246" i="4"/>
  <c r="C270" i="4"/>
  <c r="C116" i="4"/>
  <c r="C205" i="4"/>
  <c r="C277" i="4"/>
  <c r="C314" i="4"/>
  <c r="C138" i="4"/>
  <c r="C139" i="4"/>
  <c r="C19" i="4"/>
  <c r="S30" i="6"/>
  <c r="C126" i="4"/>
  <c r="C354" i="4"/>
  <c r="C345" i="4"/>
  <c r="C245" i="4"/>
  <c r="C41" i="4"/>
  <c r="C290" i="4"/>
  <c r="E40" i="11"/>
  <c r="E41" i="11" s="1"/>
  <c r="E42" i="11" s="1"/>
  <c r="E43" i="11" s="1"/>
  <c r="E44" i="11" s="1"/>
  <c r="E45" i="11" s="1"/>
  <c r="E46" i="11" s="1"/>
  <c r="E47" i="11" s="1"/>
  <c r="E48" i="11" s="1"/>
  <c r="E49" i="11" s="1"/>
  <c r="E50" i="11" s="1"/>
  <c r="E51" i="11" s="1"/>
  <c r="U9" i="10"/>
  <c r="N9" i="10" s="1"/>
  <c r="T13" i="6"/>
  <c r="V13" i="6" s="1"/>
  <c r="T19" i="6"/>
  <c r="V19" i="6" s="1"/>
  <c r="T14" i="6"/>
  <c r="V14" i="6" s="1"/>
  <c r="T16" i="6"/>
  <c r="V16" i="6" s="1"/>
  <c r="T12" i="6"/>
  <c r="V12" i="6" s="1"/>
  <c r="T8" i="6"/>
  <c r="V8" i="6" s="1"/>
  <c r="T28" i="6"/>
  <c r="V28" i="6" s="1"/>
  <c r="T9" i="6"/>
  <c r="V9" i="6" s="1"/>
  <c r="T11" i="6"/>
  <c r="V11" i="6" s="1"/>
  <c r="T31" i="6"/>
  <c r="V31" i="6" s="1"/>
  <c r="T10" i="6"/>
  <c r="V10" i="6" s="1"/>
  <c r="T29" i="6"/>
  <c r="V29" i="6" s="1"/>
  <c r="T34" i="6"/>
  <c r="V34" i="6" s="1"/>
  <c r="T21" i="6"/>
  <c r="T30" i="6"/>
  <c r="V30" i="6" s="1"/>
  <c r="T22" i="6"/>
  <c r="V22" i="6" s="1"/>
  <c r="T7" i="6"/>
  <c r="V7" i="6" s="1"/>
  <c r="T26" i="6"/>
  <c r="V26" i="6" s="1"/>
  <c r="T18" i="6"/>
  <c r="V18" i="6" s="1"/>
  <c r="T32" i="6"/>
  <c r="V32" i="6" s="1"/>
  <c r="T17" i="6"/>
  <c r="V17" i="6" s="1"/>
  <c r="T24" i="6"/>
  <c r="V24" i="6" s="1"/>
  <c r="T33" i="6"/>
  <c r="V33" i="6" s="1"/>
  <c r="T20" i="6"/>
  <c r="V20" i="6" s="1"/>
  <c r="T27" i="6"/>
  <c r="V27" i="6" s="1"/>
  <c r="T15" i="6"/>
  <c r="V15" i="6" s="1"/>
  <c r="T25" i="6"/>
  <c r="V25" i="6" s="1"/>
  <c r="T35" i="6"/>
  <c r="V35" i="6" s="1"/>
  <c r="T36" i="6"/>
  <c r="V36" i="6" s="1"/>
  <c r="T23" i="6"/>
  <c r="V23" i="6" s="1"/>
  <c r="V21" i="6" l="1"/>
  <c r="Y21" i="6" s="1"/>
  <c r="D92" i="4"/>
  <c r="D57" i="4"/>
  <c r="D263" i="4"/>
  <c r="D304" i="4"/>
  <c r="D121" i="4"/>
  <c r="D324" i="4"/>
  <c r="D347" i="4"/>
  <c r="D5" i="4"/>
  <c r="D340" i="4"/>
  <c r="D30" i="4"/>
  <c r="D88" i="4"/>
  <c r="D158" i="4"/>
  <c r="D202" i="4"/>
  <c r="D281" i="4"/>
  <c r="D69" i="4"/>
  <c r="D72" i="4"/>
  <c r="D167" i="4"/>
  <c r="D95" i="4"/>
  <c r="D31" i="8"/>
  <c r="C25" i="12"/>
  <c r="D326" i="4"/>
  <c r="D349" i="4"/>
  <c r="D250" i="4"/>
  <c r="D44" i="4"/>
  <c r="D219" i="4"/>
  <c r="D151" i="4"/>
  <c r="D164" i="4"/>
  <c r="D91" i="4"/>
  <c r="D361" i="4"/>
  <c r="D245" i="4"/>
  <c r="D345" i="4"/>
  <c r="D231" i="4"/>
  <c r="D343" i="4"/>
  <c r="D303" i="4"/>
  <c r="E29" i="12"/>
  <c r="D27" i="10"/>
  <c r="G184" i="1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1" i="11" s="1"/>
  <c r="G312" i="11" s="1"/>
  <c r="G313" i="11" s="1"/>
  <c r="G314" i="11" s="1"/>
  <c r="G315" i="11" s="1"/>
  <c r="G316" i="11" s="1"/>
  <c r="G317" i="11" s="1"/>
  <c r="G318" i="11" s="1"/>
  <c r="G319" i="11" s="1"/>
  <c r="G320" i="11" s="1"/>
  <c r="G321" i="11" s="1"/>
  <c r="G322" i="11" s="1"/>
  <c r="G323" i="11" s="1"/>
  <c r="G324" i="11" s="1"/>
  <c r="G325" i="11" s="1"/>
  <c r="G326" i="11" s="1"/>
  <c r="G327" i="11" s="1"/>
  <c r="G328" i="11" s="1"/>
  <c r="G329" i="11" s="1"/>
  <c r="G330" i="11" s="1"/>
  <c r="G331" i="11" s="1"/>
  <c r="G332" i="11" s="1"/>
  <c r="G333" i="11" s="1"/>
  <c r="G334" i="11" s="1"/>
  <c r="G335" i="11" s="1"/>
  <c r="G336" i="11" s="1"/>
  <c r="G337" i="11" s="1"/>
  <c r="G338" i="11" s="1"/>
  <c r="G339" i="11" s="1"/>
  <c r="G340" i="11" s="1"/>
  <c r="G341" i="11" s="1"/>
  <c r="G342" i="11" s="1"/>
  <c r="G343" i="11" s="1"/>
  <c r="G344" i="11" s="1"/>
  <c r="G345" i="11" s="1"/>
  <c r="G346" i="11" s="1"/>
  <c r="G347" i="11" s="1"/>
  <c r="G348" i="11" s="1"/>
  <c r="G349" i="11" s="1"/>
  <c r="G350" i="11" s="1"/>
  <c r="G351" i="11" s="1"/>
  <c r="G352" i="11" s="1"/>
  <c r="G353" i="11" s="1"/>
  <c r="G354" i="11" s="1"/>
  <c r="G355" i="11" s="1"/>
  <c r="G356" i="11" s="1"/>
  <c r="G357" i="11" s="1"/>
  <c r="G358" i="11" s="1"/>
  <c r="G359" i="11" s="1"/>
  <c r="G360" i="11" s="1"/>
  <c r="G361" i="11" s="1"/>
  <c r="G362" i="11" s="1"/>
  <c r="G363" i="11" s="1"/>
  <c r="H37" i="10"/>
  <c r="D352" i="4"/>
  <c r="D74" i="4"/>
  <c r="D64" i="4"/>
  <c r="D341" i="4"/>
  <c r="D309" i="4"/>
  <c r="D315" i="4"/>
  <c r="D291" i="4"/>
  <c r="D82" i="4"/>
  <c r="D344" i="4"/>
  <c r="D238" i="4"/>
  <c r="D197" i="4"/>
  <c r="D13" i="4"/>
  <c r="D286" i="4"/>
  <c r="D15" i="4"/>
  <c r="D143" i="4"/>
  <c r="D139" i="4"/>
  <c r="D104" i="4"/>
  <c r="D93" i="4"/>
  <c r="D179" i="4"/>
  <c r="D282" i="4"/>
  <c r="D60" i="4"/>
  <c r="D355" i="4"/>
  <c r="D337" i="4"/>
  <c r="D356" i="4"/>
  <c r="D42" i="4"/>
  <c r="D246" i="4"/>
  <c r="D327" i="4"/>
  <c r="D198" i="4"/>
  <c r="D223" i="4"/>
  <c r="D66" i="4"/>
  <c r="D332" i="4"/>
  <c r="D78" i="4"/>
  <c r="D12" i="4"/>
  <c r="D302" i="4"/>
  <c r="D129" i="4"/>
  <c r="D308" i="4"/>
  <c r="D348" i="4"/>
  <c r="D262" i="4"/>
  <c r="D176" i="4"/>
  <c r="D77" i="4"/>
  <c r="D203" i="4"/>
  <c r="D33" i="4"/>
  <c r="D218" i="4"/>
  <c r="D358" i="4"/>
  <c r="D127" i="4"/>
  <c r="D204" i="4"/>
  <c r="D134" i="4"/>
  <c r="D319" i="4"/>
  <c r="D153" i="4"/>
  <c r="D11" i="4"/>
  <c r="D166" i="4"/>
  <c r="D271" i="4"/>
  <c r="D181" i="4"/>
  <c r="D236" i="4"/>
  <c r="D148" i="4"/>
  <c r="D37" i="4"/>
  <c r="D346" i="4"/>
  <c r="D351" i="4"/>
  <c r="D360" i="4"/>
  <c r="D259" i="4"/>
  <c r="D105" i="4"/>
  <c r="D228" i="4"/>
  <c r="D280" i="4"/>
  <c r="D55" i="4"/>
  <c r="D38" i="4"/>
  <c r="D320" i="4"/>
  <c r="D353" i="4"/>
  <c r="D126" i="4"/>
  <c r="D83" i="4"/>
  <c r="D39" i="4"/>
  <c r="D58" i="4"/>
  <c r="D86" i="4"/>
  <c r="D251" i="4"/>
  <c r="D175" i="4"/>
  <c r="D331" i="4"/>
  <c r="D258" i="4"/>
  <c r="D87" i="4"/>
  <c r="D184" i="4"/>
  <c r="D188" i="4"/>
  <c r="D209" i="4"/>
  <c r="D305" i="4"/>
  <c r="D50" i="4"/>
  <c r="D112" i="4"/>
  <c r="D135" i="4"/>
  <c r="D27" i="4"/>
  <c r="D322" i="4"/>
  <c r="D120" i="4"/>
  <c r="D32" i="4"/>
  <c r="D339" i="4"/>
  <c r="D4" i="4"/>
  <c r="D273" i="4"/>
  <c r="D268" i="4"/>
  <c r="D79" i="4"/>
  <c r="D130" i="4"/>
  <c r="D145" i="4"/>
  <c r="D199" i="4"/>
  <c r="D71" i="4"/>
  <c r="D189" i="4"/>
  <c r="D56" i="4"/>
  <c r="D65" i="4"/>
  <c r="D299" i="4"/>
  <c r="D157" i="4"/>
  <c r="D99" i="4"/>
  <c r="D255" i="4"/>
  <c r="D73" i="4"/>
  <c r="D208" i="4"/>
  <c r="D321" i="4"/>
  <c r="D140" i="4"/>
  <c r="D269" i="4"/>
  <c r="D293" i="4"/>
  <c r="D97" i="4"/>
  <c r="D342" i="4"/>
  <c r="D317" i="4"/>
  <c r="D214" i="4"/>
  <c r="D75" i="4"/>
  <c r="D247" i="4"/>
  <c r="D185" i="4"/>
  <c r="D125" i="4"/>
  <c r="D193" i="4"/>
  <c r="D229" i="4"/>
  <c r="D335" i="4"/>
  <c r="D108" i="4"/>
  <c r="D70" i="4"/>
  <c r="D137" i="4"/>
  <c r="D25" i="4"/>
  <c r="D328" i="4"/>
  <c r="D163" i="4"/>
  <c r="D119" i="4"/>
  <c r="D266" i="4"/>
  <c r="D144" i="4"/>
  <c r="D147" i="4"/>
  <c r="D241" i="4"/>
  <c r="D297" i="4"/>
  <c r="D28" i="4"/>
  <c r="D45" i="4"/>
  <c r="D253" i="4"/>
  <c r="D124" i="4"/>
  <c r="D89" i="4"/>
  <c r="D26" i="4"/>
  <c r="D224" i="4"/>
  <c r="D165" i="4"/>
  <c r="D237" i="4"/>
  <c r="D213" i="4"/>
  <c r="D152" i="4"/>
  <c r="D267" i="4"/>
  <c r="D84" i="4"/>
  <c r="D330" i="4"/>
  <c r="D254" i="4"/>
  <c r="D62" i="4"/>
  <c r="D43" i="4"/>
  <c r="D136" i="4"/>
  <c r="D10" i="4"/>
  <c r="D6" i="4"/>
  <c r="D276" i="4"/>
  <c r="D323" i="4"/>
  <c r="D40" i="4"/>
  <c r="D53" i="4"/>
  <c r="D277" i="4"/>
  <c r="D111" i="4"/>
  <c r="D287" i="4"/>
  <c r="D296" i="4"/>
  <c r="D169" i="4"/>
  <c r="D196" i="4"/>
  <c r="D284" i="4"/>
  <c r="D295" i="4"/>
  <c r="D300" i="4"/>
  <c r="D183" i="4"/>
  <c r="D275" i="4"/>
  <c r="D171" i="4"/>
  <c r="D45" i="6"/>
  <c r="D195" i="4"/>
  <c r="D9" i="4"/>
  <c r="D59" i="4"/>
  <c r="D201" i="4"/>
  <c r="D230" i="4"/>
  <c r="D233" i="4"/>
  <c r="D362" i="4"/>
  <c r="D161" i="4"/>
  <c r="D205" i="4"/>
  <c r="D123" i="4"/>
  <c r="D206" i="4"/>
  <c r="D359" i="4"/>
  <c r="D211" i="4"/>
  <c r="D298" i="4"/>
  <c r="D182" i="4"/>
  <c r="D311" i="4"/>
  <c r="D279" i="4"/>
  <c r="D260" i="4"/>
  <c r="D307" i="4"/>
  <c r="D334" i="4"/>
  <c r="D116" i="4"/>
  <c r="D301" i="4"/>
  <c r="D159" i="4"/>
  <c r="D200" i="4"/>
  <c r="D173" i="4"/>
  <c r="D23" i="4"/>
  <c r="D310" i="4"/>
  <c r="D294" i="4"/>
  <c r="D142" i="4"/>
  <c r="D226" i="4"/>
  <c r="D52" i="4"/>
  <c r="D363" i="4"/>
  <c r="D239" i="4"/>
  <c r="D47" i="4"/>
  <c r="D67" i="4"/>
  <c r="D20" i="4"/>
  <c r="D289" i="4"/>
  <c r="D265" i="4"/>
  <c r="D81" i="4"/>
  <c r="D102" i="4"/>
  <c r="D221" i="4"/>
  <c r="D138" i="4"/>
  <c r="D24" i="4"/>
  <c r="D103" i="4"/>
  <c r="D96" i="4"/>
  <c r="D109" i="4"/>
  <c r="D191" i="4"/>
  <c r="D216" i="4"/>
  <c r="D252" i="4"/>
  <c r="D180" i="4"/>
  <c r="D41" i="4"/>
  <c r="D100" i="4"/>
  <c r="D46" i="4"/>
  <c r="D285" i="4"/>
  <c r="D261" i="4"/>
  <c r="D217" i="4"/>
  <c r="D257" i="4"/>
  <c r="D162" i="4"/>
  <c r="D256" i="4"/>
  <c r="D234" i="4"/>
  <c r="D128" i="4"/>
  <c r="D313" i="4"/>
  <c r="D114" i="4"/>
  <c r="D132" i="4"/>
  <c r="D35" i="4"/>
  <c r="D118" i="4"/>
  <c r="D117" i="4"/>
  <c r="D220" i="4"/>
  <c r="D288" i="4"/>
  <c r="D22" i="4"/>
  <c r="D34" i="4"/>
  <c r="D215" i="4"/>
  <c r="D18" i="4"/>
  <c r="D243" i="4"/>
  <c r="D8" i="4"/>
  <c r="D48" i="4"/>
  <c r="D210" i="4"/>
  <c r="D212" i="4"/>
  <c r="D160" i="4"/>
  <c r="D110" i="4"/>
  <c r="D194" i="4"/>
  <c r="D316" i="4"/>
  <c r="D248" i="4"/>
  <c r="D325" i="4"/>
  <c r="D98" i="4"/>
  <c r="D19" i="4"/>
  <c r="D61" i="4"/>
  <c r="D14" i="4"/>
  <c r="D168" i="4"/>
  <c r="D156" i="4"/>
  <c r="D272" i="4"/>
  <c r="D16" i="4"/>
  <c r="D94" i="4"/>
  <c r="D232" i="4"/>
  <c r="D242" i="4"/>
  <c r="D51" i="4"/>
  <c r="D278" i="4"/>
  <c r="D264" i="4"/>
  <c r="D283" i="4"/>
  <c r="D29" i="4"/>
  <c r="D178" i="4"/>
  <c r="D54" i="4"/>
  <c r="D225" i="4"/>
  <c r="D155" i="4"/>
  <c r="D101" i="4"/>
  <c r="D85" i="4"/>
  <c r="D172" i="4"/>
  <c r="D36" i="4"/>
  <c r="D115" i="4"/>
  <c r="D21" i="4"/>
  <c r="D186" i="4"/>
  <c r="D63" i="4"/>
  <c r="D80" i="4"/>
  <c r="D17" i="4"/>
  <c r="D122" i="4"/>
  <c r="D207" i="4"/>
  <c r="D333" i="4"/>
  <c r="D190" i="4"/>
  <c r="D192" i="4"/>
  <c r="D146" i="4"/>
  <c r="D187" i="4"/>
  <c r="D350" i="4"/>
  <c r="D306" i="4"/>
  <c r="D106" i="4"/>
  <c r="D154" i="4"/>
  <c r="D240" i="4"/>
  <c r="D329" i="4"/>
  <c r="D76" i="4"/>
  <c r="D90" i="4"/>
  <c r="D68" i="4"/>
  <c r="D338" i="4"/>
  <c r="D141" i="4"/>
  <c r="D49" i="4"/>
  <c r="D149" i="4"/>
  <c r="D292" i="4"/>
  <c r="D36" i="6"/>
  <c r="D38" i="6" s="1"/>
  <c r="D31" i="4"/>
  <c r="D270" i="4"/>
  <c r="D174" i="4"/>
  <c r="D274" i="4"/>
  <c r="D131" i="4"/>
  <c r="E4" i="4"/>
  <c r="E5" i="4" s="1"/>
  <c r="E6" i="4" s="1"/>
  <c r="E7" i="4" s="1"/>
  <c r="E8" i="4" s="1"/>
  <c r="E9" i="4" s="1"/>
  <c r="E10" i="4" s="1"/>
  <c r="E11" i="4" s="1"/>
  <c r="E12" i="4" s="1"/>
  <c r="E13" i="4" s="1"/>
  <c r="E14" i="4" s="1"/>
  <c r="E15" i="4" s="1"/>
  <c r="D177" i="4"/>
  <c r="D354" i="4"/>
  <c r="D235" i="4"/>
  <c r="D133" i="4"/>
  <c r="D318" i="4"/>
  <c r="D314" i="4"/>
  <c r="D336" i="4"/>
  <c r="D227" i="4"/>
  <c r="D222" i="4"/>
  <c r="D150" i="4"/>
  <c r="D7" i="4"/>
  <c r="D312" i="4"/>
  <c r="D244" i="4"/>
  <c r="D170" i="4"/>
  <c r="D107" i="4"/>
  <c r="D249" i="4"/>
  <c r="D290" i="4"/>
  <c r="E52" i="11"/>
  <c r="E53" i="11" s="1"/>
  <c r="E54" i="11" s="1"/>
  <c r="E55" i="11" s="1"/>
  <c r="E56" i="11" s="1"/>
  <c r="E57" i="11" s="1"/>
  <c r="E58" i="11" s="1"/>
  <c r="E59" i="11" s="1"/>
  <c r="E60" i="11" s="1"/>
  <c r="E61" i="11" s="1"/>
  <c r="E62" i="11" s="1"/>
  <c r="E63" i="11" s="1"/>
  <c r="U10" i="10"/>
  <c r="N10" i="10" s="1"/>
  <c r="D38" i="10"/>
  <c r="H38" i="10" l="1"/>
  <c r="D19" i="12"/>
  <c r="X6" i="6"/>
  <c r="Z6" i="6" s="1"/>
  <c r="D48" i="6"/>
  <c r="D55" i="6" s="1"/>
  <c r="I52" i="6" s="1"/>
  <c r="E16" i="4"/>
  <c r="E17" i="4" s="1"/>
  <c r="E18" i="4" s="1"/>
  <c r="E19" i="4" s="1"/>
  <c r="E20" i="4" s="1"/>
  <c r="E21" i="4" s="1"/>
  <c r="E22" i="4" s="1"/>
  <c r="E23" i="4" s="1"/>
  <c r="E24" i="4" s="1"/>
  <c r="E25" i="4" s="1"/>
  <c r="E26" i="4" s="1"/>
  <c r="E27" i="4" s="1"/>
  <c r="U7" i="6"/>
  <c r="P21" i="10"/>
  <c r="E19" i="12"/>
  <c r="E64" i="11"/>
  <c r="E65" i="11" s="1"/>
  <c r="E66" i="11" s="1"/>
  <c r="E67" i="11" s="1"/>
  <c r="E68" i="11" s="1"/>
  <c r="E69" i="11" s="1"/>
  <c r="E70" i="11" s="1"/>
  <c r="E71" i="11" s="1"/>
  <c r="E72" i="11" s="1"/>
  <c r="E73" i="11" s="1"/>
  <c r="E74" i="11" s="1"/>
  <c r="E75" i="11" s="1"/>
  <c r="U11" i="10"/>
  <c r="N11" i="10" s="1"/>
  <c r="P33" i="10"/>
  <c r="P25" i="10"/>
  <c r="P34" i="10"/>
  <c r="P11" i="10"/>
  <c r="P7" i="10"/>
  <c r="O7" i="10" s="1"/>
  <c r="P16" i="10"/>
  <c r="P17" i="10"/>
  <c r="P23" i="10"/>
  <c r="P12" i="10"/>
  <c r="P29" i="10"/>
  <c r="P31" i="10"/>
  <c r="P8" i="10"/>
  <c r="O8" i="10" s="1"/>
  <c r="P32" i="10"/>
  <c r="P28" i="10"/>
  <c r="P22" i="10"/>
  <c r="P26" i="10"/>
  <c r="P10" i="10"/>
  <c r="O10" i="10" s="1"/>
  <c r="P18" i="10"/>
  <c r="P27" i="10"/>
  <c r="P9" i="10"/>
  <c r="O9" i="10" s="1"/>
  <c r="D26" i="10"/>
  <c r="P36" i="10"/>
  <c r="P30" i="10"/>
  <c r="P15" i="10"/>
  <c r="P35" i="10"/>
  <c r="P14" i="10"/>
  <c r="P24" i="10"/>
  <c r="P19" i="10"/>
  <c r="P13" i="10"/>
  <c r="P20" i="10"/>
  <c r="P9" i="6"/>
  <c r="P31" i="6"/>
  <c r="P22" i="6"/>
  <c r="P15" i="6"/>
  <c r="P26" i="6"/>
  <c r="P32" i="6"/>
  <c r="P27" i="6"/>
  <c r="P35" i="6"/>
  <c r="P29" i="6"/>
  <c r="P23" i="6"/>
  <c r="P12" i="6"/>
  <c r="P28" i="6"/>
  <c r="P10" i="6"/>
  <c r="P14" i="6"/>
  <c r="P36" i="6"/>
  <c r="P21" i="6"/>
  <c r="P25" i="6"/>
  <c r="P19" i="6"/>
  <c r="P30" i="6"/>
  <c r="P16" i="6"/>
  <c r="P34" i="6"/>
  <c r="P8" i="6"/>
  <c r="P7" i="6"/>
  <c r="P17" i="6"/>
  <c r="P11" i="6"/>
  <c r="D26" i="6"/>
  <c r="P20" i="6"/>
  <c r="P18" i="6"/>
  <c r="P33" i="6"/>
  <c r="P13" i="6"/>
  <c r="P24" i="6"/>
  <c r="E24" i="12" l="1"/>
  <c r="D32" i="10"/>
  <c r="E28" i="4"/>
  <c r="E29" i="4" s="1"/>
  <c r="E30" i="4" s="1"/>
  <c r="E31" i="4" s="1"/>
  <c r="E32" i="4" s="1"/>
  <c r="E33" i="4" s="1"/>
  <c r="E34" i="4" s="1"/>
  <c r="E35" i="4" s="1"/>
  <c r="E36" i="4" s="1"/>
  <c r="E37" i="4" s="1"/>
  <c r="E38" i="4" s="1"/>
  <c r="E39" i="4" s="1"/>
  <c r="U8" i="6"/>
  <c r="O11" i="10"/>
  <c r="U12" i="10"/>
  <c r="E76" i="11"/>
  <c r="E77" i="11" s="1"/>
  <c r="E78" i="11" s="1"/>
  <c r="E79" i="11" s="1"/>
  <c r="E80" i="11" s="1"/>
  <c r="E81" i="11" s="1"/>
  <c r="E82" i="11" s="1"/>
  <c r="E83" i="11" s="1"/>
  <c r="E84" i="11" s="1"/>
  <c r="E85" i="11" s="1"/>
  <c r="E86" i="11" s="1"/>
  <c r="E87" i="11" s="1"/>
  <c r="N12" i="10" l="1"/>
  <c r="O12" i="10" s="1"/>
  <c r="E40" i="4"/>
  <c r="E41" i="4" s="1"/>
  <c r="E42" i="4" s="1"/>
  <c r="E43" i="4" s="1"/>
  <c r="E44" i="4" s="1"/>
  <c r="E45" i="4" s="1"/>
  <c r="E46" i="4" s="1"/>
  <c r="E47" i="4" s="1"/>
  <c r="E48" i="4" s="1"/>
  <c r="E49" i="4" s="1"/>
  <c r="E50" i="4" s="1"/>
  <c r="E51" i="4" s="1"/>
  <c r="U9" i="6"/>
  <c r="E88" i="11"/>
  <c r="E89" i="11" s="1"/>
  <c r="E90" i="11" s="1"/>
  <c r="E91" i="11" s="1"/>
  <c r="E92" i="11" s="1"/>
  <c r="E93" i="11" s="1"/>
  <c r="E94" i="11" s="1"/>
  <c r="E95" i="11" s="1"/>
  <c r="E96" i="11" s="1"/>
  <c r="E97" i="11" s="1"/>
  <c r="E98" i="11" s="1"/>
  <c r="E99" i="11" s="1"/>
  <c r="U13" i="10"/>
  <c r="N13" i="10" l="1"/>
  <c r="O13" i="10" s="1"/>
  <c r="E52" i="4"/>
  <c r="E53" i="4" s="1"/>
  <c r="E54" i="4" s="1"/>
  <c r="E55" i="4" s="1"/>
  <c r="E56" i="4" s="1"/>
  <c r="E57" i="4" s="1"/>
  <c r="E58" i="4" s="1"/>
  <c r="E59" i="4" s="1"/>
  <c r="E60" i="4" s="1"/>
  <c r="E61" i="4" s="1"/>
  <c r="E62" i="4" s="1"/>
  <c r="E63" i="4" s="1"/>
  <c r="U10" i="6"/>
  <c r="U14" i="10"/>
  <c r="E100" i="11"/>
  <c r="E101" i="11" s="1"/>
  <c r="E102" i="11" s="1"/>
  <c r="E103" i="11" s="1"/>
  <c r="E104" i="11" s="1"/>
  <c r="E105" i="11" s="1"/>
  <c r="E106" i="11" s="1"/>
  <c r="E107" i="11" s="1"/>
  <c r="E108" i="11" s="1"/>
  <c r="E109" i="11" s="1"/>
  <c r="E110" i="11" s="1"/>
  <c r="E111" i="11" s="1"/>
  <c r="N14" i="10" l="1"/>
  <c r="O14" i="10" s="1"/>
  <c r="E64" i="4"/>
  <c r="E65" i="4" s="1"/>
  <c r="E66" i="4" s="1"/>
  <c r="E67" i="4" s="1"/>
  <c r="E68" i="4" s="1"/>
  <c r="E69" i="4" s="1"/>
  <c r="E70" i="4" s="1"/>
  <c r="E71" i="4" s="1"/>
  <c r="E72" i="4" s="1"/>
  <c r="E73" i="4" s="1"/>
  <c r="E74" i="4" s="1"/>
  <c r="E75" i="4" s="1"/>
  <c r="U11" i="6"/>
  <c r="E112" i="11"/>
  <c r="E113" i="11" s="1"/>
  <c r="E114" i="11" s="1"/>
  <c r="E115" i="11" s="1"/>
  <c r="E116" i="11" s="1"/>
  <c r="E117" i="11" s="1"/>
  <c r="E118" i="11" s="1"/>
  <c r="E119" i="11" s="1"/>
  <c r="E120" i="11" s="1"/>
  <c r="E121" i="11" s="1"/>
  <c r="E122" i="11" s="1"/>
  <c r="E123" i="11" s="1"/>
  <c r="U15" i="10"/>
  <c r="N15" i="10" l="1"/>
  <c r="O15" i="10" s="1"/>
  <c r="E76" i="4"/>
  <c r="E77" i="4" s="1"/>
  <c r="E78" i="4" s="1"/>
  <c r="E79" i="4" s="1"/>
  <c r="E80" i="4" s="1"/>
  <c r="E81" i="4" s="1"/>
  <c r="E82" i="4" s="1"/>
  <c r="E83" i="4" s="1"/>
  <c r="E84" i="4" s="1"/>
  <c r="E85" i="4" s="1"/>
  <c r="E86" i="4" s="1"/>
  <c r="E87" i="4" s="1"/>
  <c r="U12" i="6"/>
  <c r="E124" i="11"/>
  <c r="E125" i="11" s="1"/>
  <c r="E126" i="11" s="1"/>
  <c r="E127" i="11" s="1"/>
  <c r="E128" i="11" s="1"/>
  <c r="E129" i="11" s="1"/>
  <c r="E130" i="11" s="1"/>
  <c r="E131" i="11" s="1"/>
  <c r="E132" i="11" s="1"/>
  <c r="E133" i="11" s="1"/>
  <c r="E134" i="11" s="1"/>
  <c r="E135" i="11" s="1"/>
  <c r="U16" i="10"/>
  <c r="N16" i="10" l="1"/>
  <c r="O16" i="10" s="1"/>
  <c r="E88" i="4"/>
  <c r="E89" i="4" s="1"/>
  <c r="E90" i="4" s="1"/>
  <c r="E91" i="4" s="1"/>
  <c r="E92" i="4" s="1"/>
  <c r="E93" i="4" s="1"/>
  <c r="E94" i="4" s="1"/>
  <c r="E95" i="4" s="1"/>
  <c r="E96" i="4" s="1"/>
  <c r="E97" i="4" s="1"/>
  <c r="E98" i="4" s="1"/>
  <c r="E99" i="4" s="1"/>
  <c r="U13" i="6"/>
  <c r="E136" i="11"/>
  <c r="E137" i="11" s="1"/>
  <c r="E138" i="11" s="1"/>
  <c r="E139" i="11" s="1"/>
  <c r="E140" i="11" s="1"/>
  <c r="E141" i="11" s="1"/>
  <c r="E142" i="11" s="1"/>
  <c r="E143" i="11" s="1"/>
  <c r="E144" i="11" s="1"/>
  <c r="E145" i="11" s="1"/>
  <c r="E146" i="11" s="1"/>
  <c r="E147" i="11" s="1"/>
  <c r="U17" i="10"/>
  <c r="N17" i="10" l="1"/>
  <c r="O17" i="10" s="1"/>
  <c r="E100" i="4"/>
  <c r="E101" i="4" s="1"/>
  <c r="E102" i="4" s="1"/>
  <c r="E103" i="4" s="1"/>
  <c r="E104" i="4" s="1"/>
  <c r="E105" i="4" s="1"/>
  <c r="E106" i="4" s="1"/>
  <c r="E107" i="4" s="1"/>
  <c r="E108" i="4" s="1"/>
  <c r="E109" i="4" s="1"/>
  <c r="E110" i="4" s="1"/>
  <c r="E111" i="4" s="1"/>
  <c r="U14" i="6"/>
  <c r="U18" i="10"/>
  <c r="E148" i="11"/>
  <c r="E149" i="11" s="1"/>
  <c r="E150" i="11" s="1"/>
  <c r="E151" i="11" s="1"/>
  <c r="E152" i="11" s="1"/>
  <c r="E153" i="11" s="1"/>
  <c r="E154" i="11" s="1"/>
  <c r="E155" i="11" s="1"/>
  <c r="E156" i="11" s="1"/>
  <c r="E157" i="11" s="1"/>
  <c r="E158" i="11" s="1"/>
  <c r="E159" i="11" s="1"/>
  <c r="N18" i="10" l="1"/>
  <c r="O18" i="10" s="1"/>
  <c r="E112" i="4"/>
  <c r="E113" i="4" s="1"/>
  <c r="E114" i="4" s="1"/>
  <c r="E115" i="4" s="1"/>
  <c r="E116" i="4" s="1"/>
  <c r="E117" i="4" s="1"/>
  <c r="E118" i="4" s="1"/>
  <c r="E119" i="4" s="1"/>
  <c r="E120" i="4" s="1"/>
  <c r="E121" i="4" s="1"/>
  <c r="E122" i="4" s="1"/>
  <c r="E123" i="4" s="1"/>
  <c r="U15" i="6"/>
  <c r="U19" i="10"/>
  <c r="E160" i="11"/>
  <c r="E161" i="11" s="1"/>
  <c r="E162" i="11" s="1"/>
  <c r="E163" i="11" s="1"/>
  <c r="E164" i="11" s="1"/>
  <c r="E165" i="11" s="1"/>
  <c r="E166" i="11" s="1"/>
  <c r="E167" i="11" s="1"/>
  <c r="E168" i="11" s="1"/>
  <c r="E169" i="11" s="1"/>
  <c r="E170" i="11" s="1"/>
  <c r="E171" i="11" s="1"/>
  <c r="N19" i="10" l="1"/>
  <c r="O19" i="10" s="1"/>
  <c r="E124" i="4"/>
  <c r="E125" i="4" s="1"/>
  <c r="E126" i="4" s="1"/>
  <c r="E127" i="4" s="1"/>
  <c r="E128" i="4" s="1"/>
  <c r="E129" i="4" s="1"/>
  <c r="E130" i="4" s="1"/>
  <c r="E131" i="4" s="1"/>
  <c r="E132" i="4" s="1"/>
  <c r="E133" i="4" s="1"/>
  <c r="E134" i="4" s="1"/>
  <c r="E135" i="4" s="1"/>
  <c r="U16" i="6"/>
  <c r="E172" i="11"/>
  <c r="E173" i="11" s="1"/>
  <c r="E174" i="11" s="1"/>
  <c r="E175" i="11" s="1"/>
  <c r="E176" i="11" s="1"/>
  <c r="E177" i="11" s="1"/>
  <c r="E178" i="11" s="1"/>
  <c r="E179" i="11" s="1"/>
  <c r="E180" i="11" s="1"/>
  <c r="E181" i="11" s="1"/>
  <c r="E182" i="11" s="1"/>
  <c r="E183" i="11" s="1"/>
  <c r="U20" i="10"/>
  <c r="N20" i="10" l="1"/>
  <c r="O20" i="10" s="1"/>
  <c r="E136" i="4"/>
  <c r="E137" i="4" s="1"/>
  <c r="E138" i="4" s="1"/>
  <c r="E139" i="4" s="1"/>
  <c r="E140" i="4" s="1"/>
  <c r="E141" i="4" s="1"/>
  <c r="E142" i="4" s="1"/>
  <c r="E143" i="4" s="1"/>
  <c r="E144" i="4" s="1"/>
  <c r="E145" i="4" s="1"/>
  <c r="E146" i="4" s="1"/>
  <c r="E147" i="4" s="1"/>
  <c r="U17" i="6"/>
  <c r="E184" i="11"/>
  <c r="E185" i="11" s="1"/>
  <c r="E186" i="11" s="1"/>
  <c r="E187" i="11" s="1"/>
  <c r="E188" i="11" s="1"/>
  <c r="E189" i="11" s="1"/>
  <c r="E190" i="11" s="1"/>
  <c r="E191" i="11" s="1"/>
  <c r="E192" i="11" s="1"/>
  <c r="E193" i="11" s="1"/>
  <c r="E194" i="11" s="1"/>
  <c r="E195" i="11" s="1"/>
  <c r="U21" i="10"/>
  <c r="N21" i="10" l="1"/>
  <c r="O21" i="10" s="1"/>
  <c r="E148" i="4"/>
  <c r="E149" i="4" s="1"/>
  <c r="E150" i="4" s="1"/>
  <c r="E151" i="4" s="1"/>
  <c r="E152" i="4" s="1"/>
  <c r="E153" i="4" s="1"/>
  <c r="E154" i="4" s="1"/>
  <c r="E155" i="4" s="1"/>
  <c r="E156" i="4" s="1"/>
  <c r="E157" i="4" s="1"/>
  <c r="E158" i="4" s="1"/>
  <c r="E159" i="4" s="1"/>
  <c r="U18" i="6"/>
  <c r="E196" i="11"/>
  <c r="E197" i="11" s="1"/>
  <c r="E198" i="11" s="1"/>
  <c r="E199" i="11" s="1"/>
  <c r="E200" i="11" s="1"/>
  <c r="E201" i="11" s="1"/>
  <c r="E202" i="11" s="1"/>
  <c r="E203" i="11" s="1"/>
  <c r="E204" i="11" s="1"/>
  <c r="E205" i="11" s="1"/>
  <c r="E206" i="11" s="1"/>
  <c r="E207" i="11" s="1"/>
  <c r="U22" i="10"/>
  <c r="N22" i="10" l="1"/>
  <c r="O22" i="10" s="1"/>
  <c r="E160" i="4"/>
  <c r="E161" i="4" s="1"/>
  <c r="E162" i="4" s="1"/>
  <c r="E163" i="4" s="1"/>
  <c r="E164" i="4" s="1"/>
  <c r="E165" i="4" s="1"/>
  <c r="E166" i="4" s="1"/>
  <c r="E167" i="4" s="1"/>
  <c r="E168" i="4" s="1"/>
  <c r="E169" i="4" s="1"/>
  <c r="E170" i="4" s="1"/>
  <c r="E171" i="4" s="1"/>
  <c r="U19" i="6"/>
  <c r="E208" i="11"/>
  <c r="E209" i="11" s="1"/>
  <c r="E210" i="11" s="1"/>
  <c r="E211" i="11" s="1"/>
  <c r="E212" i="11" s="1"/>
  <c r="E213" i="11" s="1"/>
  <c r="E214" i="11" s="1"/>
  <c r="E215" i="11" s="1"/>
  <c r="E216" i="11" s="1"/>
  <c r="E217" i="11" s="1"/>
  <c r="E218" i="11" s="1"/>
  <c r="E219" i="11" s="1"/>
  <c r="U23" i="10"/>
  <c r="N23" i="10" l="1"/>
  <c r="O23" i="10" s="1"/>
  <c r="U20" i="6"/>
  <c r="E172" i="4"/>
  <c r="E173" i="4" s="1"/>
  <c r="E174" i="4" s="1"/>
  <c r="E175" i="4" s="1"/>
  <c r="E176" i="4" s="1"/>
  <c r="E177" i="4" s="1"/>
  <c r="E178" i="4" s="1"/>
  <c r="E179" i="4" s="1"/>
  <c r="E180" i="4" s="1"/>
  <c r="E181" i="4" s="1"/>
  <c r="E182" i="4" s="1"/>
  <c r="E183" i="4" s="1"/>
  <c r="E220" i="11"/>
  <c r="E221" i="11" s="1"/>
  <c r="E222" i="11" s="1"/>
  <c r="E223" i="11" s="1"/>
  <c r="E224" i="11" s="1"/>
  <c r="E225" i="11" s="1"/>
  <c r="E226" i="11" s="1"/>
  <c r="E227" i="11" s="1"/>
  <c r="E228" i="11" s="1"/>
  <c r="E229" i="11" s="1"/>
  <c r="E230" i="11" s="1"/>
  <c r="E231" i="11" s="1"/>
  <c r="U24" i="10"/>
  <c r="N24" i="10" l="1"/>
  <c r="O24" i="10" s="1"/>
  <c r="H35" i="6"/>
  <c r="D21" i="12" s="1"/>
  <c r="E184" i="4"/>
  <c r="E185" i="4" s="1"/>
  <c r="E186" i="4" s="1"/>
  <c r="E187" i="4" s="1"/>
  <c r="E188" i="4" s="1"/>
  <c r="E189" i="4" s="1"/>
  <c r="E190" i="4" s="1"/>
  <c r="E191" i="4" s="1"/>
  <c r="E192" i="4" s="1"/>
  <c r="E193" i="4" s="1"/>
  <c r="E194" i="4" s="1"/>
  <c r="E195" i="4" s="1"/>
  <c r="U21" i="6"/>
  <c r="E232" i="11"/>
  <c r="E233" i="11" s="1"/>
  <c r="E234" i="11" s="1"/>
  <c r="E235" i="11" s="1"/>
  <c r="E236" i="11" s="1"/>
  <c r="E237" i="11" s="1"/>
  <c r="E238" i="11" s="1"/>
  <c r="E239" i="11" s="1"/>
  <c r="E240" i="11" s="1"/>
  <c r="E241" i="11" s="1"/>
  <c r="E242" i="11" s="1"/>
  <c r="E243" i="11" s="1"/>
  <c r="U25" i="10"/>
  <c r="N25" i="10" l="1"/>
  <c r="O25" i="10" s="1"/>
  <c r="E196" i="4"/>
  <c r="E197" i="4" s="1"/>
  <c r="E198" i="4" s="1"/>
  <c r="E199" i="4" s="1"/>
  <c r="E200" i="4" s="1"/>
  <c r="E201" i="4" s="1"/>
  <c r="E202" i="4" s="1"/>
  <c r="E203" i="4" s="1"/>
  <c r="E204" i="4" s="1"/>
  <c r="E205" i="4" s="1"/>
  <c r="E206" i="4" s="1"/>
  <c r="E207" i="4" s="1"/>
  <c r="U22" i="6"/>
  <c r="D29" i="10"/>
  <c r="E244" i="11"/>
  <c r="E245" i="11" s="1"/>
  <c r="E246" i="11" s="1"/>
  <c r="E247" i="11" s="1"/>
  <c r="E248" i="11" s="1"/>
  <c r="E249" i="11" s="1"/>
  <c r="E250" i="11" s="1"/>
  <c r="E251" i="11" s="1"/>
  <c r="E252" i="11" s="1"/>
  <c r="E253" i="11" s="1"/>
  <c r="E254" i="11" s="1"/>
  <c r="E255" i="11" s="1"/>
  <c r="U26" i="10"/>
  <c r="N26" i="10" l="1"/>
  <c r="O26" i="10" s="1"/>
  <c r="D31" i="10"/>
  <c r="E208" i="4"/>
  <c r="E209" i="4" s="1"/>
  <c r="E210" i="4" s="1"/>
  <c r="E211" i="4" s="1"/>
  <c r="E212" i="4" s="1"/>
  <c r="E213" i="4" s="1"/>
  <c r="E214" i="4" s="1"/>
  <c r="E215" i="4" s="1"/>
  <c r="E216" i="4" s="1"/>
  <c r="E217" i="4" s="1"/>
  <c r="E218" i="4" s="1"/>
  <c r="E219" i="4" s="1"/>
  <c r="U23" i="6"/>
  <c r="E256" i="11"/>
  <c r="E257" i="11" s="1"/>
  <c r="E258" i="11" s="1"/>
  <c r="E259" i="11" s="1"/>
  <c r="E260" i="11" s="1"/>
  <c r="E261" i="11" s="1"/>
  <c r="E262" i="11" s="1"/>
  <c r="E263" i="11" s="1"/>
  <c r="E264" i="11" s="1"/>
  <c r="E265" i="11" s="1"/>
  <c r="E266" i="11" s="1"/>
  <c r="E267" i="11" s="1"/>
  <c r="U27" i="10"/>
  <c r="N27" i="10" l="1"/>
  <c r="O27" i="10" s="1"/>
  <c r="U24" i="6"/>
  <c r="E220" i="4"/>
  <c r="E221" i="4" s="1"/>
  <c r="E222" i="4" s="1"/>
  <c r="E223" i="4" s="1"/>
  <c r="E224" i="4" s="1"/>
  <c r="E225" i="4" s="1"/>
  <c r="E226" i="4" s="1"/>
  <c r="E227" i="4" s="1"/>
  <c r="E228" i="4" s="1"/>
  <c r="E229" i="4" s="1"/>
  <c r="E230" i="4" s="1"/>
  <c r="E231" i="4" s="1"/>
  <c r="E23" i="12"/>
  <c r="E268" i="11"/>
  <c r="E269" i="11" s="1"/>
  <c r="E270" i="11" s="1"/>
  <c r="E271" i="11" s="1"/>
  <c r="E272" i="11" s="1"/>
  <c r="E273" i="11" s="1"/>
  <c r="E274" i="11" s="1"/>
  <c r="E275" i="11" s="1"/>
  <c r="E276" i="11" s="1"/>
  <c r="E277" i="11" s="1"/>
  <c r="E278" i="11" s="1"/>
  <c r="E279" i="11" s="1"/>
  <c r="U28" i="10"/>
  <c r="N28" i="10" l="1"/>
  <c r="O28" i="10" s="1"/>
  <c r="U25" i="6"/>
  <c r="E232" i="4"/>
  <c r="E233" i="4" s="1"/>
  <c r="E234" i="4" s="1"/>
  <c r="E235" i="4" s="1"/>
  <c r="E236" i="4" s="1"/>
  <c r="E237" i="4" s="1"/>
  <c r="E238" i="4" s="1"/>
  <c r="E239" i="4" s="1"/>
  <c r="E240" i="4" s="1"/>
  <c r="E241" i="4" s="1"/>
  <c r="E242" i="4" s="1"/>
  <c r="E243" i="4" s="1"/>
  <c r="U29" i="10"/>
  <c r="E280" i="11"/>
  <c r="E281" i="11" s="1"/>
  <c r="E282" i="11" s="1"/>
  <c r="E283" i="11" s="1"/>
  <c r="E284" i="11" s="1"/>
  <c r="E285" i="11" s="1"/>
  <c r="E286" i="11" s="1"/>
  <c r="E287" i="11" s="1"/>
  <c r="E288" i="11" s="1"/>
  <c r="E289" i="11" s="1"/>
  <c r="E290" i="11" s="1"/>
  <c r="E291" i="11" s="1"/>
  <c r="N29" i="10" l="1"/>
  <c r="O29" i="10" s="1"/>
  <c r="E244" i="4"/>
  <c r="E245" i="4" s="1"/>
  <c r="E246" i="4" s="1"/>
  <c r="E247" i="4" s="1"/>
  <c r="E248" i="4" s="1"/>
  <c r="E249" i="4" s="1"/>
  <c r="E250" i="4" s="1"/>
  <c r="E251" i="4" s="1"/>
  <c r="E252" i="4" s="1"/>
  <c r="E253" i="4" s="1"/>
  <c r="E254" i="4" s="1"/>
  <c r="E255" i="4" s="1"/>
  <c r="U26" i="6"/>
  <c r="E292" i="11"/>
  <c r="E293" i="11" s="1"/>
  <c r="E294" i="11" s="1"/>
  <c r="E295" i="11" s="1"/>
  <c r="E296" i="11" s="1"/>
  <c r="E297" i="11" s="1"/>
  <c r="E298" i="11" s="1"/>
  <c r="E299" i="11" s="1"/>
  <c r="E300" i="11" s="1"/>
  <c r="E301" i="11" s="1"/>
  <c r="E302" i="11" s="1"/>
  <c r="E303" i="11" s="1"/>
  <c r="U30" i="10"/>
  <c r="N30" i="10" l="1"/>
  <c r="O30" i="10" s="1"/>
  <c r="U27" i="6"/>
  <c r="E256" i="4"/>
  <c r="E257" i="4" s="1"/>
  <c r="E258" i="4" s="1"/>
  <c r="E259" i="4" s="1"/>
  <c r="E260" i="4" s="1"/>
  <c r="E261" i="4" s="1"/>
  <c r="E262" i="4" s="1"/>
  <c r="E263" i="4" s="1"/>
  <c r="E264" i="4" s="1"/>
  <c r="E265" i="4" s="1"/>
  <c r="E266" i="4" s="1"/>
  <c r="E267" i="4" s="1"/>
  <c r="E304" i="11"/>
  <c r="E305" i="11" s="1"/>
  <c r="E306" i="11" s="1"/>
  <c r="E307" i="11" s="1"/>
  <c r="E308" i="11" s="1"/>
  <c r="E309" i="11" s="1"/>
  <c r="E310" i="11" s="1"/>
  <c r="E311" i="11" s="1"/>
  <c r="E312" i="11" s="1"/>
  <c r="E313" i="11" s="1"/>
  <c r="E314" i="11" s="1"/>
  <c r="E315" i="11" s="1"/>
  <c r="U31" i="10"/>
  <c r="N31" i="10" l="1"/>
  <c r="O31" i="10" s="1"/>
  <c r="E268" i="4"/>
  <c r="E269" i="4" s="1"/>
  <c r="E270" i="4" s="1"/>
  <c r="E271" i="4" s="1"/>
  <c r="E272" i="4" s="1"/>
  <c r="E273" i="4" s="1"/>
  <c r="E274" i="4" s="1"/>
  <c r="E275" i="4" s="1"/>
  <c r="E276" i="4" s="1"/>
  <c r="E277" i="4" s="1"/>
  <c r="E278" i="4" s="1"/>
  <c r="E279" i="4" s="1"/>
  <c r="U28" i="6"/>
  <c r="U32" i="10"/>
  <c r="E316" i="11"/>
  <c r="E317" i="11" s="1"/>
  <c r="E318" i="11" s="1"/>
  <c r="E319" i="11" s="1"/>
  <c r="E320" i="11" s="1"/>
  <c r="E321" i="11" s="1"/>
  <c r="E322" i="11" s="1"/>
  <c r="E323" i="11" s="1"/>
  <c r="E324" i="11" s="1"/>
  <c r="E325" i="11" s="1"/>
  <c r="E326" i="11" s="1"/>
  <c r="E327" i="11" s="1"/>
  <c r="N32" i="10" l="1"/>
  <c r="O32" i="10" s="1"/>
  <c r="E280" i="4"/>
  <c r="E281" i="4" s="1"/>
  <c r="E282" i="4" s="1"/>
  <c r="E283" i="4" s="1"/>
  <c r="E284" i="4" s="1"/>
  <c r="E285" i="4" s="1"/>
  <c r="E286" i="4" s="1"/>
  <c r="E287" i="4" s="1"/>
  <c r="E288" i="4" s="1"/>
  <c r="E289" i="4" s="1"/>
  <c r="E290" i="4" s="1"/>
  <c r="E291" i="4" s="1"/>
  <c r="U29" i="6"/>
  <c r="E328" i="11"/>
  <c r="E329" i="11" s="1"/>
  <c r="E330" i="11" s="1"/>
  <c r="E331" i="11" s="1"/>
  <c r="E332" i="11" s="1"/>
  <c r="E333" i="11" s="1"/>
  <c r="E334" i="11" s="1"/>
  <c r="E335" i="11" s="1"/>
  <c r="E336" i="11" s="1"/>
  <c r="E337" i="11" s="1"/>
  <c r="E338" i="11" s="1"/>
  <c r="E339" i="11" s="1"/>
  <c r="U33" i="10"/>
  <c r="N33" i="10" l="1"/>
  <c r="O33" i="10" s="1"/>
  <c r="E292" i="4"/>
  <c r="E293" i="4" s="1"/>
  <c r="E294" i="4" s="1"/>
  <c r="E295" i="4" s="1"/>
  <c r="E296" i="4" s="1"/>
  <c r="E297" i="4" s="1"/>
  <c r="E298" i="4" s="1"/>
  <c r="E299" i="4" s="1"/>
  <c r="E300" i="4" s="1"/>
  <c r="E301" i="4" s="1"/>
  <c r="E302" i="4" s="1"/>
  <c r="E303" i="4" s="1"/>
  <c r="U30" i="6"/>
  <c r="E340" i="11"/>
  <c r="E341" i="11" s="1"/>
  <c r="E342" i="11" s="1"/>
  <c r="E343" i="11" s="1"/>
  <c r="E344" i="11" s="1"/>
  <c r="E345" i="11" s="1"/>
  <c r="E346" i="11" s="1"/>
  <c r="E347" i="11" s="1"/>
  <c r="E348" i="11" s="1"/>
  <c r="E349" i="11" s="1"/>
  <c r="E350" i="11" s="1"/>
  <c r="E351" i="11" s="1"/>
  <c r="U34" i="10"/>
  <c r="N34" i="10" l="1"/>
  <c r="O34" i="10" s="1"/>
  <c r="E304" i="4"/>
  <c r="E305" i="4" s="1"/>
  <c r="E306" i="4" s="1"/>
  <c r="E307" i="4" s="1"/>
  <c r="E308" i="4" s="1"/>
  <c r="E309" i="4" s="1"/>
  <c r="E310" i="4" s="1"/>
  <c r="E311" i="4" s="1"/>
  <c r="E312" i="4" s="1"/>
  <c r="E313" i="4" s="1"/>
  <c r="E314" i="4" s="1"/>
  <c r="E315" i="4" s="1"/>
  <c r="U31" i="6"/>
  <c r="E352" i="11"/>
  <c r="E353" i="11" s="1"/>
  <c r="E354" i="11" s="1"/>
  <c r="E355" i="11" s="1"/>
  <c r="E356" i="11" s="1"/>
  <c r="E357" i="11" s="1"/>
  <c r="E358" i="11" s="1"/>
  <c r="E359" i="11" s="1"/>
  <c r="E360" i="11" s="1"/>
  <c r="E361" i="11" s="1"/>
  <c r="E362" i="11" s="1"/>
  <c r="E363" i="11" s="1"/>
  <c r="U36" i="10" s="1"/>
  <c r="U35" i="10"/>
  <c r="N36" i="10" l="1"/>
  <c r="O36" i="10" s="1"/>
  <c r="N35" i="10"/>
  <c r="O35" i="10" s="1"/>
  <c r="E316" i="4"/>
  <c r="E317" i="4" s="1"/>
  <c r="E318" i="4" s="1"/>
  <c r="E319" i="4" s="1"/>
  <c r="E320" i="4" s="1"/>
  <c r="E321" i="4" s="1"/>
  <c r="E322" i="4" s="1"/>
  <c r="E323" i="4" s="1"/>
  <c r="E324" i="4" s="1"/>
  <c r="E325" i="4" s="1"/>
  <c r="E326" i="4" s="1"/>
  <c r="E327" i="4" s="1"/>
  <c r="U32" i="6"/>
  <c r="E328" i="4" l="1"/>
  <c r="E329" i="4" s="1"/>
  <c r="E330" i="4" s="1"/>
  <c r="E331" i="4" s="1"/>
  <c r="E332" i="4" s="1"/>
  <c r="E333" i="4" s="1"/>
  <c r="E334" i="4" s="1"/>
  <c r="E335" i="4" s="1"/>
  <c r="E336" i="4" s="1"/>
  <c r="E337" i="4" s="1"/>
  <c r="E338" i="4" s="1"/>
  <c r="E339" i="4" s="1"/>
  <c r="U33" i="6"/>
  <c r="E340" i="4" l="1"/>
  <c r="E341" i="4" s="1"/>
  <c r="E342" i="4" s="1"/>
  <c r="E343" i="4" s="1"/>
  <c r="E344" i="4" s="1"/>
  <c r="E345" i="4" s="1"/>
  <c r="E346" i="4" s="1"/>
  <c r="E347" i="4" s="1"/>
  <c r="E348" i="4" s="1"/>
  <c r="E349" i="4" s="1"/>
  <c r="E350" i="4" s="1"/>
  <c r="E351" i="4" s="1"/>
  <c r="U34" i="6"/>
  <c r="E352" i="4" l="1"/>
  <c r="E353" i="4" s="1"/>
  <c r="E354" i="4" s="1"/>
  <c r="E355" i="4" s="1"/>
  <c r="E356" i="4" s="1"/>
  <c r="E357" i="4" s="1"/>
  <c r="E358" i="4" s="1"/>
  <c r="E359" i="4" s="1"/>
  <c r="E360" i="4" s="1"/>
  <c r="E361" i="4" s="1"/>
  <c r="E362" i="4" s="1"/>
  <c r="E363" i="4" s="1"/>
  <c r="U36" i="6" s="1"/>
  <c r="U35" i="6"/>
  <c r="D27" i="8" l="1"/>
  <c r="D28" i="8"/>
  <c r="H41" i="8"/>
  <c r="W21" i="8" l="1"/>
  <c r="N21" i="8" s="1"/>
  <c r="O21" i="8" s="1"/>
  <c r="W27" i="8"/>
  <c r="N27" i="8" s="1"/>
  <c r="O27" i="8" s="1"/>
  <c r="W19" i="8"/>
  <c r="N19" i="8" s="1"/>
  <c r="O19" i="8" s="1"/>
  <c r="W12" i="8"/>
  <c r="N12" i="8" s="1"/>
  <c r="O12" i="8" s="1"/>
  <c r="W8" i="8"/>
  <c r="N8" i="8" s="1"/>
  <c r="O8" i="8" s="1"/>
  <c r="W7" i="8"/>
  <c r="N7" i="8" s="1"/>
  <c r="O7" i="8" s="1"/>
  <c r="W26" i="8"/>
  <c r="N26" i="8" s="1"/>
  <c r="O26" i="8" s="1"/>
  <c r="W24" i="8"/>
  <c r="N24" i="8" s="1"/>
  <c r="O24" i="8" s="1"/>
  <c r="W31" i="8"/>
  <c r="N31" i="8" s="1"/>
  <c r="O31" i="8" s="1"/>
  <c r="D32" i="8"/>
  <c r="W23" i="8"/>
  <c r="N23" i="8" s="1"/>
  <c r="O23" i="8" s="1"/>
  <c r="W16" i="8"/>
  <c r="N16" i="8" s="1"/>
  <c r="O16" i="8" s="1"/>
  <c r="W15" i="8"/>
  <c r="N15" i="8" s="1"/>
  <c r="O15" i="8" s="1"/>
  <c r="W32" i="8"/>
  <c r="N32" i="8" s="1"/>
  <c r="O32" i="8" s="1"/>
  <c r="W18" i="8"/>
  <c r="N18" i="8" s="1"/>
  <c r="O18" i="8" s="1"/>
  <c r="W20" i="8"/>
  <c r="N20" i="8" s="1"/>
  <c r="O20" i="8" s="1"/>
  <c r="W30" i="8"/>
  <c r="N30" i="8" s="1"/>
  <c r="O30" i="8" s="1"/>
  <c r="W10" i="8"/>
  <c r="N10" i="8" s="1"/>
  <c r="O10" i="8" s="1"/>
  <c r="W14" i="8"/>
  <c r="N14" i="8" s="1"/>
  <c r="O14" i="8" s="1"/>
  <c r="W29" i="8"/>
  <c r="N29" i="8" s="1"/>
  <c r="O29" i="8" s="1"/>
  <c r="W25" i="8"/>
  <c r="N25" i="8" s="1"/>
  <c r="O25" i="8" s="1"/>
  <c r="W35" i="8"/>
  <c r="N35" i="8" s="1"/>
  <c r="O35" i="8" s="1"/>
  <c r="W13" i="8"/>
  <c r="N13" i="8" s="1"/>
  <c r="O13" i="8" s="1"/>
  <c r="W36" i="8"/>
  <c r="N36" i="8" s="1"/>
  <c r="O36" i="8" s="1"/>
  <c r="W28" i="8"/>
  <c r="N28" i="8" s="1"/>
  <c r="O28" i="8" s="1"/>
  <c r="W34" i="8"/>
  <c r="N34" i="8" s="1"/>
  <c r="O34" i="8" s="1"/>
  <c r="W22" i="8"/>
  <c r="N22" i="8" s="1"/>
  <c r="O22" i="8" s="1"/>
  <c r="W33" i="8"/>
  <c r="N33" i="8" s="1"/>
  <c r="O33" i="8" s="1"/>
  <c r="W9" i="8"/>
  <c r="N9" i="8" s="1"/>
  <c r="O9" i="8" s="1"/>
  <c r="W11" i="8"/>
  <c r="N11" i="8" s="1"/>
  <c r="O11" i="8" s="1"/>
  <c r="W17" i="8"/>
  <c r="N17" i="8" s="1"/>
  <c r="O17" i="8" s="1"/>
  <c r="C26" i="12" l="1"/>
  <c r="H40" i="8"/>
  <c r="H42" i="8" l="1"/>
  <c r="D30" i="8" s="1"/>
  <c r="D29" i="8"/>
  <c r="C24" i="12" l="1"/>
  <c r="C23" i="12"/>
  <c r="H26" i="6"/>
  <c r="H27" i="6" l="1"/>
  <c r="D27" i="6" s="1"/>
  <c r="H28" i="6"/>
  <c r="D28" i="6" s="1"/>
  <c r="D32" i="6"/>
  <c r="I26" i="6"/>
  <c r="I27" i="6" l="1"/>
  <c r="I28" i="6"/>
  <c r="H42" i="6" s="1"/>
  <c r="W23" i="6" l="1"/>
  <c r="N23" i="6" s="1"/>
  <c r="O23" i="6" s="1"/>
  <c r="X24" i="6"/>
  <c r="X15" i="6"/>
  <c r="Z15" i="6" s="1"/>
  <c r="X30" i="6"/>
  <c r="X14" i="6"/>
  <c r="Z14" i="6" s="1"/>
  <c r="X23" i="6"/>
  <c r="X36" i="6"/>
  <c r="X29" i="6"/>
  <c r="X13" i="6"/>
  <c r="Z13" i="6" s="1"/>
  <c r="X28" i="6"/>
  <c r="X21" i="6"/>
  <c r="Z21" i="6" s="1"/>
  <c r="X11" i="6"/>
  <c r="Z11" i="6" s="1"/>
  <c r="X18" i="6"/>
  <c r="Z18" i="6" s="1"/>
  <c r="X34" i="6"/>
  <c r="X20" i="6"/>
  <c r="Z20" i="6" s="1"/>
  <c r="X27" i="6"/>
  <c r="X10" i="6"/>
  <c r="Z10" i="6" s="1"/>
  <c r="X19" i="6"/>
  <c r="Z19" i="6" s="1"/>
  <c r="X33" i="6"/>
  <c r="X9" i="6"/>
  <c r="Z9" i="6" s="1"/>
  <c r="X26" i="6"/>
  <c r="X32" i="6"/>
  <c r="X17" i="6"/>
  <c r="Z17" i="6" s="1"/>
  <c r="X25" i="6"/>
  <c r="X7" i="6"/>
  <c r="Z7" i="6" s="1"/>
  <c r="X16" i="6"/>
  <c r="Z16" i="6" s="1"/>
  <c r="X31" i="6"/>
  <c r="X22" i="6"/>
  <c r="X35" i="6"/>
  <c r="X12" i="6"/>
  <c r="Z12" i="6" s="1"/>
  <c r="X8" i="6"/>
  <c r="Z8" i="6" s="1"/>
  <c r="W17" i="6"/>
  <c r="N17" i="6" s="1"/>
  <c r="O17" i="6" s="1"/>
  <c r="W31" i="6"/>
  <c r="N31" i="6" s="1"/>
  <c r="O31" i="6" s="1"/>
  <c r="W26" i="6"/>
  <c r="N26" i="6" s="1"/>
  <c r="O26" i="6" s="1"/>
  <c r="W20" i="6"/>
  <c r="N20" i="6" s="1"/>
  <c r="O20" i="6" s="1"/>
  <c r="W36" i="6"/>
  <c r="N36" i="6" s="1"/>
  <c r="O36" i="6" s="1"/>
  <c r="W35" i="6"/>
  <c r="N35" i="6" s="1"/>
  <c r="O35" i="6" s="1"/>
  <c r="W25" i="6"/>
  <c r="N25" i="6" s="1"/>
  <c r="O25" i="6" s="1"/>
  <c r="W16" i="6"/>
  <c r="N16" i="6" s="1"/>
  <c r="O16" i="6" s="1"/>
  <c r="H38" i="6"/>
  <c r="W15" i="6"/>
  <c r="N15" i="6" s="1"/>
  <c r="O15" i="6" s="1"/>
  <c r="W19" i="6"/>
  <c r="N19" i="6" s="1"/>
  <c r="O19" i="6" s="1"/>
  <c r="W7" i="6"/>
  <c r="N7" i="6" s="1"/>
  <c r="O7" i="6" s="1"/>
  <c r="W30" i="6"/>
  <c r="N30" i="6" s="1"/>
  <c r="O30" i="6" s="1"/>
  <c r="W21" i="6"/>
  <c r="N21" i="6" s="1"/>
  <c r="O21" i="6" s="1"/>
  <c r="W28" i="6"/>
  <c r="N28" i="6" s="1"/>
  <c r="O28" i="6" s="1"/>
  <c r="W18" i="6"/>
  <c r="N18" i="6" s="1"/>
  <c r="O18" i="6" s="1"/>
  <c r="W32" i="6"/>
  <c r="N32" i="6" s="1"/>
  <c r="O32" i="6" s="1"/>
  <c r="W12" i="6"/>
  <c r="N12" i="6" s="1"/>
  <c r="O12" i="6" s="1"/>
  <c r="W13" i="6"/>
  <c r="N13" i="6" s="1"/>
  <c r="O13" i="6" s="1"/>
  <c r="W22" i="6"/>
  <c r="N22" i="6" s="1"/>
  <c r="O22" i="6" s="1"/>
  <c r="W34" i="6"/>
  <c r="N34" i="6" s="1"/>
  <c r="O34" i="6" s="1"/>
  <c r="W9" i="6"/>
  <c r="N9" i="6" s="1"/>
  <c r="O9" i="6" s="1"/>
  <c r="W27" i="6"/>
  <c r="N27" i="6" s="1"/>
  <c r="O27" i="6" s="1"/>
  <c r="W33" i="6"/>
  <c r="N33" i="6" s="1"/>
  <c r="O33" i="6" s="1"/>
  <c r="W8" i="6"/>
  <c r="N8" i="6" s="1"/>
  <c r="O8" i="6" s="1"/>
  <c r="W24" i="6"/>
  <c r="N24" i="6" s="1"/>
  <c r="O24" i="6" s="1"/>
  <c r="W10" i="6"/>
  <c r="N10" i="6" s="1"/>
  <c r="O10" i="6" s="1"/>
  <c r="W29" i="6"/>
  <c r="N29" i="6" s="1"/>
  <c r="O29" i="6" s="1"/>
  <c r="W11" i="6"/>
  <c r="N11" i="6" s="1"/>
  <c r="O11" i="6" s="1"/>
  <c r="W14" i="6"/>
  <c r="N14" i="6" s="1"/>
  <c r="O14" i="6" s="1"/>
  <c r="H39" i="6" l="1"/>
  <c r="D29" i="6" s="1"/>
  <c r="D20" i="12"/>
  <c r="H41" i="6"/>
  <c r="D27" i="12" s="1"/>
  <c r="D28" i="12" s="1"/>
  <c r="H44" i="6"/>
  <c r="D25" i="12" s="1"/>
  <c r="D23" i="12"/>
  <c r="H43" i="6" l="1"/>
  <c r="D24" i="12" s="1"/>
  <c r="D31" i="6"/>
  <c r="D30" i="6" l="1"/>
</calcChain>
</file>

<file path=xl/sharedStrings.xml><?xml version="1.0" encoding="utf-8"?>
<sst xmlns="http://schemas.openxmlformats.org/spreadsheetml/2006/main" count="304" uniqueCount="141">
  <si>
    <t>Summary</t>
  </si>
  <si>
    <t>List Price</t>
  </si>
  <si>
    <t>Investment Capital Needed</t>
  </si>
  <si>
    <t>Total Projected Profit</t>
  </si>
  <si>
    <t>Annual Return on Investment</t>
  </si>
  <si>
    <t>Annual Cap Rate</t>
  </si>
  <si>
    <t>Investment</t>
  </si>
  <si>
    <t>Down Payment %</t>
  </si>
  <si>
    <t>Down Payment</t>
  </si>
  <si>
    <t>Initial Upgrade Costs</t>
  </si>
  <si>
    <t>Debt Service</t>
  </si>
  <si>
    <t>Monthly</t>
  </si>
  <si>
    <t>Annual</t>
  </si>
  <si>
    <t>Loan Amount</t>
  </si>
  <si>
    <t>Amortization (years)</t>
  </si>
  <si>
    <t>Mortgage Payment (P&amp;I)</t>
  </si>
  <si>
    <t>Total Mortgage Payment (P&amp;I)</t>
  </si>
  <si>
    <t>Property Taxes</t>
  </si>
  <si>
    <t>Management Fees</t>
  </si>
  <si>
    <t>Home Insurance</t>
  </si>
  <si>
    <t>Estimated Vacancy Amount</t>
  </si>
  <si>
    <t>Estimated Maintenance</t>
  </si>
  <si>
    <t>Leasing Fee</t>
  </si>
  <si>
    <t>Cash Flow</t>
  </si>
  <si>
    <t>Rent per Side</t>
  </si>
  <si>
    <t>Return on Investment</t>
  </si>
  <si>
    <t>Annual Appreciation</t>
  </si>
  <si>
    <t>Years Held</t>
  </si>
  <si>
    <t>Accumulated Cash Flow</t>
  </si>
  <si>
    <t>Appreciation</t>
  </si>
  <si>
    <t>Principal Paydown</t>
  </si>
  <si>
    <t>Est. Selling Expenses %</t>
  </si>
  <si>
    <t>Selling Expenses</t>
  </si>
  <si>
    <t>Tax Benefits</t>
  </si>
  <si>
    <t>Cash Reserves</t>
  </si>
  <si>
    <t>Number of Months</t>
  </si>
  <si>
    <t>Estimated Closing Costs</t>
  </si>
  <si>
    <t>Admin Fee</t>
  </si>
  <si>
    <t>Processing Fee</t>
  </si>
  <si>
    <t>Tax Service Fee</t>
  </si>
  <si>
    <t>Total Lender Fees</t>
  </si>
  <si>
    <t>Attorney Doc Prep Fee</t>
  </si>
  <si>
    <t>Credit Report Fee</t>
  </si>
  <si>
    <t>Recording Fee</t>
  </si>
  <si>
    <t>Title Escrow and Misc Fees</t>
  </si>
  <si>
    <t>Owner's Title Policy (OTP)</t>
  </si>
  <si>
    <t>Survey Fee</t>
  </si>
  <si>
    <t>HOA Transfer Fees</t>
  </si>
  <si>
    <t>Total Lender/Title Closing Costs</t>
  </si>
  <si>
    <t>Annual Home Insurance Premium</t>
  </si>
  <si>
    <t>Buyer's contribution toward Escrow Setup</t>
  </si>
  <si>
    <t>Total Other Loan Costs</t>
  </si>
  <si>
    <t>Calculated Total Closing Costs</t>
  </si>
  <si>
    <t>Manually Enter Closing Costs?</t>
  </si>
  <si>
    <t>No</t>
  </si>
  <si>
    <t>Manual Closing Costs</t>
  </si>
  <si>
    <t>Total Closing Costs</t>
  </si>
  <si>
    <t>Vacancy Rate</t>
  </si>
  <si>
    <t xml:space="preserve">Estimated Maintenance </t>
  </si>
  <si>
    <t>Management Fee</t>
  </si>
  <si>
    <t>Yes</t>
  </si>
  <si>
    <t>Mortgage Amortization Schedule</t>
  </si>
  <si>
    <t>Month</t>
  </si>
  <si>
    <t>Principal Payment</t>
  </si>
  <si>
    <t>Interest Payment</t>
  </si>
  <si>
    <t>P&amp;I Payment</t>
  </si>
  <si>
    <t>Balance</t>
  </si>
  <si>
    <t>Years</t>
  </si>
  <si>
    <t>Est. Cash Flow (Total expenses)</t>
  </si>
  <si>
    <t>Disclaimer</t>
  </si>
  <si>
    <t xml:space="preserve">Proforma returns are based on assumptions. Actual returns will vary. Rosehaven Homes, LLC and Magnolia Village at Cinco Lakes, LLC 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Rosehaven Homes, LLC hereby disclaims any liability for the accuracy, completeness, or correctness of any information or assumptions provided. </t>
  </si>
  <si>
    <t>Contact us for Details: 210-444-2040 or sales@rosehaven.us</t>
  </si>
  <si>
    <t>Premium Duplexes at Magnolia Village Proforma</t>
  </si>
  <si>
    <t>Closing Costs &amp; Prepaids</t>
  </si>
  <si>
    <t>(Does not account for rising rents)</t>
  </si>
  <si>
    <t>Per Diem Interest (15 Days)</t>
  </si>
  <si>
    <t>Total Appreciation</t>
  </si>
  <si>
    <t>Cash Required to Close</t>
  </si>
  <si>
    <t>Accumulated Expenses After Income</t>
  </si>
  <si>
    <t>Projected Annual Appreciation %</t>
  </si>
  <si>
    <t>Rental Contribution</t>
  </si>
  <si>
    <t>Accumulated Principle Paydown</t>
  </si>
  <si>
    <t>Interest Rate</t>
  </si>
  <si>
    <t>Estimated Maintenance Amount</t>
  </si>
  <si>
    <t>Purchase Price</t>
  </si>
  <si>
    <t>Closing Costs</t>
  </si>
  <si>
    <t>Insurance</t>
  </si>
  <si>
    <t>Annual Depreciation Benefit</t>
  </si>
  <si>
    <t>PMI</t>
  </si>
  <si>
    <t>Annual Gross Rents</t>
  </si>
  <si>
    <t>Rent Per Side</t>
  </si>
  <si>
    <t>Capital Needed for Purchase</t>
  </si>
  <si>
    <t>All Cash</t>
  </si>
  <si>
    <t>w/Loan</t>
  </si>
  <si>
    <t>Owner Occupier</t>
  </si>
  <si>
    <t>Key Assumptions</t>
  </si>
  <si>
    <t>Percent Down for Loan</t>
  </si>
  <si>
    <t>Item</t>
  </si>
  <si>
    <t>With Loan</t>
  </si>
  <si>
    <t>Interest Rate on Loan</t>
  </si>
  <si>
    <t>Cap Rate</t>
  </si>
  <si>
    <t>Cash on Cash Return</t>
  </si>
  <si>
    <t>Cash on Cash + Appreciation</t>
  </si>
  <si>
    <t>Investment Period (Years)</t>
  </si>
  <si>
    <t>Owner Occupier Monthly Cost</t>
  </si>
  <si>
    <t>Total Estimated Profit</t>
  </si>
  <si>
    <t>Financial Estimate Summary - Magnolia Village</t>
  </si>
  <si>
    <t>Magnolia</t>
  </si>
  <si>
    <t>Sample 1</t>
  </si>
  <si>
    <t>Sample 2</t>
  </si>
  <si>
    <t>Total Monthly Rent</t>
  </si>
  <si>
    <t>Monthly Rent</t>
  </si>
  <si>
    <t>Rent to Purchase Price Ratio</t>
  </si>
  <si>
    <t>Rent to Puchase Price Ratio Comparison</t>
  </si>
  <si>
    <t xml:space="preserve">Addditional assumptions and all forumulas can be found in the other tabs in this spreadsheet. </t>
  </si>
  <si>
    <t>Total Principal Paydown by Renter</t>
  </si>
  <si>
    <t>Operating Expenses</t>
  </si>
  <si>
    <t>Total Operating Expenses</t>
  </si>
  <si>
    <t>Est. Cash Flow (Less Vacancy &amp; Maint Exp)</t>
  </si>
  <si>
    <t>Est. Cash Flow</t>
  </si>
  <si>
    <t>Cash-on-Cash Return (Total Exp)</t>
  </si>
  <si>
    <t>Cash-on-Cash Return (Less Vacancy &amp; Maint Exp)</t>
  </si>
  <si>
    <t>Net Proceeds</t>
  </si>
  <si>
    <t>Adj IRR Cash Flows</t>
  </si>
  <si>
    <t>Internal Rate of Return (IRR)</t>
  </si>
  <si>
    <t>Monthly Cash-on-Cash Return</t>
  </si>
  <si>
    <t>Monthly Cash-on-Cash Return (Less Vacancy &amp; Maint Exp)</t>
  </si>
  <si>
    <t>HOA Fees</t>
  </si>
  <si>
    <t>PITI</t>
  </si>
  <si>
    <t>Leasing Fee (Amortized Over 18 Months)</t>
  </si>
  <si>
    <t>Monthly Cash Flow (Less Vacancy &amp; Maint. Exp)</t>
  </si>
  <si>
    <t>Leasing Fee (Amortized over 18 Months)</t>
  </si>
  <si>
    <t>Expenses After Rental Income</t>
  </si>
  <si>
    <t>Expenses After Rental Income (Less Vacancy &amp; Maint. Exp)</t>
  </si>
  <si>
    <t>Monthly Expenses After Rental Income (Less Vacancy &amp; Maint. Exp)</t>
  </si>
  <si>
    <t>Monthly Expenses After Rental Income</t>
  </si>
  <si>
    <t>Gross Rents</t>
  </si>
  <si>
    <t>Total Annual Return (ROI)</t>
  </si>
  <si>
    <t>Appreciation After X Years</t>
  </si>
  <si>
    <t>Principal Pay Down</t>
  </si>
  <si>
    <t>A simple way to compare properties is to look at how much rent you are "buying" for each dollar you are spending. The higher the ratio, the better.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</si>
</sst>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
    <numFmt numFmtId="168" formatCode="&quot;$&quot;#,##0"/>
  </numFmts>
  <fonts count="26"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0"/>
      <name val="Aptos Narrow"/>
      <family val="2"/>
      <scheme val="minor"/>
    </font>
    <font>
      <b/>
      <sz val="14"/>
      <color theme="0"/>
      <name val="Cambria"/>
      <family val="1"/>
    </font>
    <font>
      <sz val="11"/>
      <color theme="1"/>
      <name val="Cambria"/>
      <family val="1"/>
    </font>
    <font>
      <b/>
      <sz val="11"/>
      <color theme="1"/>
      <name val="Cambria"/>
      <family val="1"/>
    </font>
    <font>
      <b/>
      <sz val="11"/>
      <color theme="0"/>
      <name val="Cambria"/>
      <family val="1"/>
    </font>
    <font>
      <b/>
      <sz val="11"/>
      <name val="Cambria"/>
      <family val="1"/>
    </font>
    <font>
      <i/>
      <sz val="11"/>
      <color theme="1"/>
      <name val="Aptos Narrow"/>
      <family val="2"/>
      <scheme val="minor"/>
    </font>
    <font>
      <b/>
      <i/>
      <sz val="11"/>
      <color theme="1"/>
      <name val="Cambria"/>
      <family val="1"/>
    </font>
    <font>
      <i/>
      <sz val="11"/>
      <color theme="1"/>
      <name val="Cambria"/>
      <family val="1"/>
    </font>
    <font>
      <b/>
      <sz val="12"/>
      <name val="Arial Narrow"/>
      <family val="2"/>
    </font>
    <font>
      <sz val="12"/>
      <name val="Arial Narrow"/>
      <family val="2"/>
    </font>
    <font>
      <sz val="10"/>
      <name val="Helvetica"/>
    </font>
    <font>
      <b/>
      <sz val="12"/>
      <name val="Cambria"/>
      <family val="1"/>
    </font>
    <font>
      <u/>
      <sz val="11"/>
      <color theme="10"/>
      <name val="Aptos Narrow"/>
      <family val="2"/>
      <scheme val="minor"/>
    </font>
    <font>
      <b/>
      <sz val="11"/>
      <color theme="0"/>
      <name val="Aptos Narrow"/>
      <family val="2"/>
      <scheme val="minor"/>
    </font>
    <font>
      <sz val="11"/>
      <color theme="0"/>
      <name val="Cambria"/>
      <family val="1"/>
    </font>
    <font>
      <b/>
      <sz val="18"/>
      <color theme="4" tint="-0.499984740745262"/>
      <name val="Cambria"/>
      <family val="1"/>
    </font>
    <font>
      <b/>
      <sz val="10"/>
      <color theme="0"/>
      <name val="Cambria"/>
      <family val="1"/>
    </font>
    <font>
      <b/>
      <sz val="10"/>
      <color theme="1"/>
      <name val="Cambria"/>
      <family val="1"/>
    </font>
    <font>
      <sz val="10"/>
      <color theme="1"/>
      <name val="Cambria"/>
      <family val="1"/>
    </font>
    <font>
      <i/>
      <sz val="10"/>
      <color theme="1"/>
      <name val="Cambria"/>
      <family val="1"/>
    </font>
    <font>
      <sz val="10"/>
      <color theme="1"/>
      <name val="Aptos Narrow"/>
      <family val="2"/>
      <scheme val="minor"/>
    </font>
    <font>
      <i/>
      <sz val="9"/>
      <color theme="1"/>
      <name val="Cambria"/>
      <family val="1"/>
    </font>
  </fonts>
  <fills count="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13">
    <xf numFmtId="0" fontId="0" fillId="0" borderId="0" xfId="0"/>
    <xf numFmtId="0" fontId="2" fillId="0" borderId="0" xfId="0" applyFont="1"/>
    <xf numFmtId="9" fontId="0" fillId="0" borderId="0" xfId="3" applyFont="1"/>
    <xf numFmtId="44" fontId="0" fillId="0" borderId="0" xfId="0" applyNumberFormat="1"/>
    <xf numFmtId="8" fontId="0" fillId="0" borderId="0" xfId="0" applyNumberFormat="1"/>
    <xf numFmtId="0" fontId="0" fillId="2" borderId="0" xfId="0" applyFill="1"/>
    <xf numFmtId="166" fontId="0" fillId="0" borderId="0" xfId="3" applyNumberFormat="1" applyFont="1"/>
    <xf numFmtId="0" fontId="4" fillId="2" borderId="0" xfId="0" applyFont="1" applyFill="1"/>
    <xf numFmtId="0" fontId="5" fillId="0" borderId="0" xfId="0" applyFont="1"/>
    <xf numFmtId="0" fontId="9" fillId="0" borderId="0" xfId="0" applyFont="1"/>
    <xf numFmtId="0" fontId="0" fillId="4" borderId="0" xfId="0" applyFill="1"/>
    <xf numFmtId="0" fontId="13" fillId="4" borderId="0" xfId="0" applyFont="1" applyFill="1"/>
    <xf numFmtId="0" fontId="12" fillId="4" borderId="0" xfId="0" applyFont="1" applyFill="1"/>
    <xf numFmtId="0" fontId="14" fillId="4" borderId="0" xfId="0" applyFont="1" applyFill="1"/>
    <xf numFmtId="0" fontId="15" fillId="0" borderId="0" xfId="0" applyFont="1"/>
    <xf numFmtId="0" fontId="16" fillId="0" borderId="0" xfId="4"/>
    <xf numFmtId="0" fontId="9" fillId="4" borderId="0" xfId="0" applyFont="1" applyFill="1"/>
    <xf numFmtId="0" fontId="5" fillId="4" borderId="0" xfId="0" applyFont="1" applyFill="1"/>
    <xf numFmtId="0" fontId="6" fillId="4" borderId="0" xfId="0" applyFont="1" applyFill="1"/>
    <xf numFmtId="0" fontId="2" fillId="4" borderId="0" xfId="0" applyFont="1" applyFill="1"/>
    <xf numFmtId="164" fontId="6" fillId="4" borderId="0" xfId="0" applyNumberFormat="1" applyFont="1" applyFill="1"/>
    <xf numFmtId="164" fontId="5" fillId="4" borderId="0" xfId="0" applyNumberFormat="1" applyFont="1" applyFill="1"/>
    <xf numFmtId="164" fontId="5" fillId="3" borderId="1" xfId="0" applyNumberFormat="1" applyFont="1" applyFill="1" applyBorder="1" applyAlignment="1">
      <alignment horizontal="center"/>
    </xf>
    <xf numFmtId="164" fontId="6" fillId="5" borderId="1" xfId="2" applyNumberFormat="1" applyFont="1" applyFill="1" applyBorder="1"/>
    <xf numFmtId="0" fontId="15" fillId="4" borderId="0" xfId="0" applyFont="1" applyFill="1"/>
    <xf numFmtId="168" fontId="15" fillId="4" borderId="0" xfId="0" applyNumberFormat="1" applyFont="1" applyFill="1"/>
    <xf numFmtId="168" fontId="6" fillId="4" borderId="0" xfId="0" applyNumberFormat="1" applyFont="1" applyFill="1"/>
    <xf numFmtId="164" fontId="6" fillId="4" borderId="0" xfId="2" applyNumberFormat="1" applyFont="1" applyFill="1"/>
    <xf numFmtId="0" fontId="6" fillId="3" borderId="0" xfId="0" applyFont="1" applyFill="1"/>
    <xf numFmtId="0" fontId="4" fillId="4" borderId="0" xfId="0" applyFont="1" applyFill="1" applyAlignment="1">
      <alignment horizontal="center"/>
    </xf>
    <xf numFmtId="0" fontId="0" fillId="0" borderId="0" xfId="0" applyProtection="1">
      <protection hidden="1"/>
    </xf>
    <xf numFmtId="0" fontId="17" fillId="2" borderId="0" xfId="0" applyFont="1" applyFill="1" applyProtection="1">
      <protection hidden="1"/>
    </xf>
    <xf numFmtId="0" fontId="17" fillId="2" borderId="0" xfId="0" applyFont="1" applyFill="1" applyAlignment="1" applyProtection="1">
      <alignment horizontal="center"/>
      <protection hidden="1"/>
    </xf>
    <xf numFmtId="44" fontId="17" fillId="2" borderId="0" xfId="0" applyNumberFormat="1" applyFont="1" applyFill="1" applyProtection="1">
      <protection hidden="1"/>
    </xf>
    <xf numFmtId="164" fontId="0" fillId="0" borderId="0" xfId="0" applyNumberFormat="1" applyProtection="1">
      <protection hidden="1"/>
    </xf>
    <xf numFmtId="10" fontId="0" fillId="0" borderId="0" xfId="3" applyNumberFormat="1" applyFont="1" applyProtection="1">
      <protection hidden="1"/>
    </xf>
    <xf numFmtId="44" fontId="0" fillId="0" borderId="0" xfId="0" applyNumberFormat="1" applyProtection="1">
      <protection hidden="1"/>
    </xf>
    <xf numFmtId="10" fontId="0" fillId="0" borderId="0" xfId="0" applyNumberFormat="1" applyProtection="1">
      <protection hidden="1"/>
    </xf>
    <xf numFmtId="165" fontId="0" fillId="0" borderId="0" xfId="1" applyNumberFormat="1" applyFont="1" applyProtection="1">
      <protection hidden="1"/>
    </xf>
    <xf numFmtId="43" fontId="0" fillId="0" borderId="0" xfId="0" applyNumberFormat="1" applyProtection="1">
      <protection hidden="1"/>
    </xf>
    <xf numFmtId="0" fontId="2" fillId="0" borderId="0" xfId="0" applyFont="1" applyProtection="1">
      <protection hidden="1"/>
    </xf>
    <xf numFmtId="43" fontId="2" fillId="0" borderId="0" xfId="0" applyNumberFormat="1" applyFont="1" applyProtection="1">
      <protection hidden="1"/>
    </xf>
    <xf numFmtId="0" fontId="0" fillId="4" borderId="0" xfId="0" applyFill="1" applyProtection="1">
      <protection hidden="1"/>
    </xf>
    <xf numFmtId="0" fontId="0" fillId="4" borderId="0" xfId="0" applyFill="1" applyProtection="1">
      <protection locked="0"/>
    </xf>
    <xf numFmtId="0" fontId="5" fillId="4" borderId="0" xfId="0" applyFont="1" applyFill="1" applyProtection="1">
      <protection locked="0"/>
    </xf>
    <xf numFmtId="0" fontId="9" fillId="4" borderId="0" xfId="0" applyFont="1" applyFill="1" applyProtection="1">
      <protection locked="0"/>
    </xf>
    <xf numFmtId="0" fontId="4" fillId="2" borderId="0" xfId="0" applyFont="1" applyFill="1" applyProtection="1">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18" fillId="4" borderId="0" xfId="0" applyFont="1" applyFill="1" applyAlignment="1" applyProtection="1">
      <alignment horizontal="center"/>
      <protection locked="0"/>
    </xf>
    <xf numFmtId="164" fontId="5" fillId="4" borderId="0" xfId="2" applyNumberFormat="1" applyFont="1" applyFill="1" applyBorder="1" applyProtection="1">
      <protection locked="0"/>
    </xf>
    <xf numFmtId="9" fontId="5" fillId="4" borderId="0" xfId="3" applyFont="1" applyFill="1" applyBorder="1" applyProtection="1">
      <protection locked="0"/>
    </xf>
    <xf numFmtId="164" fontId="5" fillId="4" borderId="0" xfId="0" applyNumberFormat="1" applyFont="1" applyFill="1" applyProtection="1">
      <protection locked="0"/>
    </xf>
    <xf numFmtId="164" fontId="11" fillId="4" borderId="0" xfId="2" applyNumberFormat="1" applyFont="1" applyFill="1" applyBorder="1" applyProtection="1">
      <protection locked="0"/>
    </xf>
    <xf numFmtId="44" fontId="11" fillId="4" borderId="0" xfId="2" applyFont="1" applyFill="1" applyBorder="1" applyProtection="1">
      <protection locked="0"/>
    </xf>
    <xf numFmtId="165" fontId="5" fillId="4" borderId="0" xfId="1" applyNumberFormat="1" applyFont="1" applyFill="1" applyBorder="1" applyProtection="1">
      <protection locked="0"/>
    </xf>
    <xf numFmtId="0" fontId="6" fillId="4" borderId="0" xfId="0" applyFont="1" applyFill="1" applyProtection="1">
      <protection locked="0"/>
    </xf>
    <xf numFmtId="10" fontId="8" fillId="4" borderId="0" xfId="0" applyNumberFormat="1" applyFont="1" applyFill="1" applyAlignment="1" applyProtection="1">
      <alignment horizontal="right"/>
      <protection locked="0"/>
    </xf>
    <xf numFmtId="164" fontId="6" fillId="4" borderId="0" xfId="0" applyNumberFormat="1" applyFont="1" applyFill="1" applyProtection="1">
      <protection locked="0"/>
    </xf>
    <xf numFmtId="164" fontId="10" fillId="4" borderId="0" xfId="0" applyNumberFormat="1" applyFont="1" applyFill="1" applyProtection="1">
      <protection locked="0"/>
    </xf>
    <xf numFmtId="0" fontId="9" fillId="0" borderId="0" xfId="0" applyFont="1" applyProtection="1">
      <protection locked="0"/>
    </xf>
    <xf numFmtId="164" fontId="6" fillId="4" borderId="0" xfId="2" applyNumberFormat="1" applyFont="1" applyFill="1" applyBorder="1" applyProtection="1">
      <protection locked="0"/>
    </xf>
    <xf numFmtId="10" fontId="5" fillId="4" borderId="0" xfId="3" applyNumberFormat="1" applyFont="1" applyFill="1" applyBorder="1" applyProtection="1">
      <protection locked="0"/>
    </xf>
    <xf numFmtId="167" fontId="5" fillId="4" borderId="0" xfId="3" applyNumberFormat="1" applyFont="1" applyFill="1" applyBorder="1" applyProtection="1">
      <protection locked="0"/>
    </xf>
    <xf numFmtId="165" fontId="6" fillId="4" borderId="0" xfId="1" applyNumberFormat="1" applyFont="1" applyFill="1" applyAlignment="1" applyProtection="1">
      <alignment horizontal="right" indent="2"/>
      <protection locked="0"/>
    </xf>
    <xf numFmtId="10" fontId="6" fillId="4" borderId="0" xfId="3" applyNumberFormat="1" applyFont="1" applyFill="1" applyBorder="1" applyProtection="1">
      <protection locked="0"/>
    </xf>
    <xf numFmtId="44" fontId="6" fillId="4" borderId="0" xfId="0" applyNumberFormat="1" applyFont="1" applyFill="1" applyProtection="1">
      <protection locked="0"/>
    </xf>
    <xf numFmtId="1" fontId="5" fillId="4" borderId="0" xfId="1" applyNumberFormat="1" applyFont="1" applyFill="1" applyBorder="1" applyAlignment="1" applyProtection="1">
      <alignment horizontal="center" vertical="center"/>
      <protection locked="0"/>
    </xf>
    <xf numFmtId="8" fontId="6" fillId="4" borderId="0" xfId="0" applyNumberFormat="1" applyFont="1" applyFill="1" applyProtection="1">
      <protection locked="0"/>
    </xf>
    <xf numFmtId="0" fontId="4" fillId="4" borderId="0" xfId="0" applyFont="1" applyFill="1"/>
    <xf numFmtId="164" fontId="0" fillId="0" borderId="0" xfId="0" applyNumberFormat="1"/>
    <xf numFmtId="44" fontId="9" fillId="4" borderId="0" xfId="0" applyNumberFormat="1" applyFont="1" applyFill="1" applyProtection="1">
      <protection locked="0"/>
    </xf>
    <xf numFmtId="164" fontId="5" fillId="0" borderId="0" xfId="0" applyNumberFormat="1" applyFont="1"/>
    <xf numFmtId="164" fontId="8" fillId="4" borderId="0" xfId="0" applyNumberFormat="1" applyFont="1" applyFill="1" applyAlignment="1" applyProtection="1">
      <alignment horizontal="right"/>
      <protection locked="0"/>
    </xf>
    <xf numFmtId="164" fontId="9" fillId="0" borderId="0" xfId="0" applyNumberFormat="1" applyFont="1"/>
    <xf numFmtId="0" fontId="4" fillId="4" borderId="0" xfId="0" applyFont="1" applyFill="1" applyProtection="1">
      <protection locked="0"/>
    </xf>
    <xf numFmtId="0" fontId="7" fillId="4" borderId="0" xfId="0" applyFont="1" applyFill="1" applyAlignment="1" applyProtection="1">
      <alignment horizontal="center"/>
      <protection locked="0"/>
    </xf>
    <xf numFmtId="164" fontId="6" fillId="0" borderId="0" xfId="0" applyNumberFormat="1" applyFont="1"/>
    <xf numFmtId="0" fontId="20" fillId="2" borderId="0" xfId="0" applyFont="1" applyFill="1" applyProtection="1">
      <protection locked="0"/>
    </xf>
    <xf numFmtId="1" fontId="5" fillId="4" borderId="0" xfId="0" applyNumberFormat="1" applyFont="1" applyFill="1" applyProtection="1">
      <protection locked="0"/>
    </xf>
    <xf numFmtId="43" fontId="0" fillId="0" borderId="0" xfId="1" applyFont="1" applyProtection="1">
      <protection hidden="1"/>
    </xf>
    <xf numFmtId="9" fontId="5" fillId="6" borderId="0" xfId="3" applyFont="1" applyFill="1" applyBorder="1" applyProtection="1">
      <protection locked="0"/>
    </xf>
    <xf numFmtId="10" fontId="5" fillId="6" borderId="0" xfId="3" applyNumberFormat="1" applyFont="1" applyFill="1" applyBorder="1" applyProtection="1">
      <protection locked="0"/>
    </xf>
    <xf numFmtId="164" fontId="10" fillId="4" borderId="0" xfId="2" applyNumberFormat="1" applyFont="1" applyFill="1" applyBorder="1" applyProtection="1">
      <protection locked="0"/>
    </xf>
    <xf numFmtId="166" fontId="5" fillId="6" borderId="0" xfId="3" applyNumberFormat="1" applyFont="1" applyFill="1" applyBorder="1" applyProtection="1">
      <protection locked="0"/>
    </xf>
    <xf numFmtId="43" fontId="0" fillId="0" borderId="0" xfId="0" applyNumberFormat="1"/>
    <xf numFmtId="43" fontId="0" fillId="0" borderId="0" xfId="1" applyFont="1"/>
    <xf numFmtId="44" fontId="5" fillId="4" borderId="0" xfId="0" applyNumberFormat="1" applyFont="1" applyFill="1"/>
    <xf numFmtId="10" fontId="6" fillId="4" borderId="0" xfId="3" applyNumberFormat="1" applyFont="1" applyFill="1" applyProtection="1">
      <protection locked="0"/>
    </xf>
    <xf numFmtId="10" fontId="6" fillId="4" borderId="0" xfId="0" applyNumberFormat="1" applyFont="1" applyFill="1"/>
    <xf numFmtId="0" fontId="21" fillId="4" borderId="0" xfId="0" applyFont="1" applyFill="1"/>
    <xf numFmtId="0" fontId="22" fillId="4" borderId="0" xfId="0" applyFont="1" applyFill="1"/>
    <xf numFmtId="164" fontId="22" fillId="4" borderId="0" xfId="0" applyNumberFormat="1" applyFont="1" applyFill="1" applyProtection="1">
      <protection locked="0"/>
    </xf>
    <xf numFmtId="0" fontId="22" fillId="4" borderId="0" xfId="0" applyFont="1" applyFill="1" applyProtection="1">
      <protection locked="0"/>
    </xf>
    <xf numFmtId="10" fontId="22" fillId="4" borderId="0" xfId="3" applyNumberFormat="1" applyFont="1" applyFill="1" applyBorder="1" applyProtection="1">
      <protection locked="0"/>
    </xf>
    <xf numFmtId="10" fontId="22" fillId="4" borderId="0" xfId="0" applyNumberFormat="1" applyFont="1" applyFill="1"/>
    <xf numFmtId="0" fontId="22" fillId="4" borderId="2" xfId="0" applyFont="1" applyFill="1" applyBorder="1" applyProtection="1">
      <protection locked="0"/>
    </xf>
    <xf numFmtId="1" fontId="22" fillId="4" borderId="2" xfId="0" applyNumberFormat="1" applyFont="1" applyFill="1" applyBorder="1" applyProtection="1">
      <protection locked="0"/>
    </xf>
    <xf numFmtId="0" fontId="22" fillId="4" borderId="2" xfId="0" applyFont="1" applyFill="1" applyBorder="1"/>
    <xf numFmtId="164" fontId="22" fillId="4" borderId="2" xfId="0" applyNumberFormat="1" applyFont="1" applyFill="1" applyBorder="1" applyProtection="1">
      <protection locked="0"/>
    </xf>
    <xf numFmtId="0" fontId="21" fillId="4" borderId="2" xfId="0" applyFont="1" applyFill="1" applyBorder="1"/>
    <xf numFmtId="10" fontId="21" fillId="4" borderId="2" xfId="3" applyNumberFormat="1" applyFont="1" applyFill="1" applyBorder="1" applyProtection="1">
      <protection locked="0"/>
    </xf>
    <xf numFmtId="0" fontId="24" fillId="4" borderId="0" xfId="0" applyFont="1" applyFill="1"/>
    <xf numFmtId="0" fontId="24" fillId="4" borderId="0" xfId="0" applyFont="1" applyFill="1" applyAlignment="1">
      <alignment horizontal="right"/>
    </xf>
    <xf numFmtId="0" fontId="23" fillId="4" borderId="0" xfId="0" applyFont="1" applyFill="1" applyAlignment="1" applyProtection="1">
      <alignment horizontal="center"/>
      <protection locked="0"/>
    </xf>
    <xf numFmtId="0" fontId="25" fillId="4" borderId="3" xfId="0" applyFont="1" applyFill="1" applyBorder="1" applyAlignment="1">
      <alignment horizontal="center" vertical="top" wrapText="1"/>
    </xf>
    <xf numFmtId="0" fontId="25" fillId="4" borderId="0" xfId="0" applyFont="1" applyFill="1" applyAlignment="1">
      <alignment horizontal="center" vertical="top" wrapText="1"/>
    </xf>
    <xf numFmtId="0" fontId="20" fillId="2" borderId="0" xfId="0" applyFont="1" applyFill="1" applyAlignment="1" applyProtection="1">
      <alignment horizontal="center"/>
      <protection locked="0"/>
    </xf>
    <xf numFmtId="0" fontId="4" fillId="2" borderId="0" xfId="0" applyFont="1" applyFill="1" applyAlignment="1">
      <alignment horizontal="center"/>
    </xf>
    <xf numFmtId="0" fontId="11" fillId="4" borderId="0" xfId="0" applyFont="1" applyFill="1" applyAlignment="1">
      <alignment horizontal="left" vertical="top" wrapText="1"/>
    </xf>
    <xf numFmtId="0" fontId="0" fillId="4" borderId="0" xfId="0" applyFill="1" applyAlignment="1">
      <alignment horizontal="center"/>
    </xf>
    <xf numFmtId="0" fontId="19" fillId="4" borderId="0" xfId="0" applyFont="1" applyFill="1" applyAlignment="1">
      <alignment horizontal="center"/>
    </xf>
    <xf numFmtId="0" fontId="3" fillId="2" borderId="0" xfId="0" applyFont="1" applyFill="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'All Cash'!$O$5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'All Cash'!$O$7:$O$36</c:f>
              <c:numCache>
                <c:formatCode>0.00%</c:formatCode>
                <c:ptCount val="30"/>
                <c:pt idx="0">
                  <c:v>1.3184032386927131E-2</c:v>
                </c:pt>
                <c:pt idx="1">
                  <c:v>4.8398664023786203E-2</c:v>
                </c:pt>
                <c:pt idx="2">
                  <c:v>6.0525993173744241E-2</c:v>
                </c:pt>
                <c:pt idx="3">
                  <c:v>6.6891711065340947E-2</c:v>
                </c:pt>
                <c:pt idx="4">
                  <c:v>7.0961241946458448E-2</c:v>
                </c:pt>
                <c:pt idx="5">
                  <c:v>7.3889973909932641E-2</c:v>
                </c:pt>
                <c:pt idx="6">
                  <c:v>7.6173292118892497E-2</c:v>
                </c:pt>
                <c:pt idx="7">
                  <c:v>7.8059087339729313E-2</c:v>
                </c:pt>
                <c:pt idx="8">
                  <c:v>7.9685258994923333E-2</c:v>
                </c:pt>
                <c:pt idx="9">
                  <c:v>8.113471657839548E-2</c:v>
                </c:pt>
                <c:pt idx="10">
                  <c:v>8.2460380481593612E-2</c:v>
                </c:pt>
                <c:pt idx="11">
                  <c:v>8.3697682579914348E-2</c:v>
                </c:pt>
                <c:pt idx="12">
                  <c:v>8.487129748334292E-2</c:v>
                </c:pt>
                <c:pt idx="13">
                  <c:v>8.5998989124585271E-2</c:v>
                </c:pt>
                <c:pt idx="14">
                  <c:v>8.7093918865729827E-2</c:v>
                </c:pt>
                <c:pt idx="15">
                  <c:v>8.8166088214128441E-2</c:v>
                </c:pt>
                <c:pt idx="16">
                  <c:v>8.9223272489791741E-2</c:v>
                </c:pt>
                <c:pt idx="17">
                  <c:v>9.0271643412403929E-2</c:v>
                </c:pt>
                <c:pt idx="18">
                  <c:v>9.1316195221229621E-2</c:v>
                </c:pt>
                <c:pt idx="19">
                  <c:v>9.2361043096032519E-2</c:v>
                </c:pt>
                <c:pt idx="20">
                  <c:v>9.3409636449901703E-2</c:v>
                </c:pt>
                <c:pt idx="21">
                  <c:v>9.4464914184707691E-2</c:v>
                </c:pt>
                <c:pt idx="22">
                  <c:v>9.552941957720186E-2</c:v>
                </c:pt>
                <c:pt idx="23">
                  <c:v>9.6605386574584617E-2</c:v>
                </c:pt>
                <c:pt idx="24">
                  <c:v>9.7694805509292645E-2</c:v>
                </c:pt>
                <c:pt idx="25">
                  <c:v>9.879947377836433E-2</c:v>
                </c:pt>
                <c:pt idx="26">
                  <c:v>9.9921035389822346E-2</c:v>
                </c:pt>
                <c:pt idx="27">
                  <c:v>0.10106101216367488</c:v>
                </c:pt>
                <c:pt idx="28">
                  <c:v>0.10222082860629318</c:v>
                </c:pt>
                <c:pt idx="29">
                  <c:v>0.1034018319387329</c:v>
                </c:pt>
              </c:numCache>
            </c:numRef>
          </c:val>
          <c:smooth val="0"/>
          <c:extLst>
            <c:ext xmlns:c16="http://schemas.microsoft.com/office/drawing/2014/chart" uri="{C3380CC4-5D6E-409C-BE32-E72D297353CC}">
              <c16:uniqueId val="{00000000-0CF2-4C58-88F0-63307AC26BC6}"/>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'All Cash'!$M$5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'All Cash'!$M$7:$M$36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0CF2-4C58-88F0-63307AC26BC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'All Cash'!$N$5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'All Cash'!$N$7:$N$36</c15:sqref>
                        </c15:formulaRef>
                      </c:ext>
                    </c:extLst>
                    <c:numCache>
                      <c:formatCode>_("$"* #,##0_);_("$"* \(#,##0\);_("$"* "-"??_);_(@_)</c:formatCode>
                      <c:ptCount val="30"/>
                      <c:pt idx="0">
                        <c:v>6605.0683855266252</c:v>
                      </c:pt>
                      <c:pt idx="1">
                        <c:v>48494.493378553314</c:v>
                      </c:pt>
                      <c:pt idx="2">
                        <c:v>90968.751960342401</c:v>
                      </c:pt>
                      <c:pt idx="3">
                        <c:v>134048.31330650067</c:v>
                      </c:pt>
                      <c:pt idx="4">
                        <c:v>177754.36301378111</c:v>
                      </c:pt>
                      <c:pt idx="5">
                        <c:v>222108.82817482296</c:v>
                      </c:pt>
                      <c:pt idx="6">
                        <c:v>267134.40333050775</c:v>
                      </c:pt>
                      <c:pt idx="7">
                        <c:v>312854.57733064797</c:v>
                      </c:pt>
                      <c:pt idx="8">
                        <c:v>359293.66113479983</c:v>
                      </c:pt>
                      <c:pt idx="9">
                        <c:v>406476.81658610364</c:v>
                      </c:pt>
                      <c:pt idx="10">
                        <c:v>454430.08619220951</c:v>
                      </c:pt>
                      <c:pt idx="11">
                        <c:v>503180.42394853564</c:v>
                      </c:pt>
                      <c:pt idx="12">
                        <c:v>552755.72724033974</c:v>
                      </c:pt>
                      <c:pt idx="13">
                        <c:v>603184.86986136378</c:v>
                      </c:pt>
                      <c:pt idx="14">
                        <c:v>654497.73618812999</c:v>
                      </c:pt>
                      <c:pt idx="15">
                        <c:v>706725.25655033952</c:v>
                      </c:pt>
                      <c:pt idx="16">
                        <c:v>759899.44383923314</c:v>
                      </c:pt>
                      <c:pt idx="17">
                        <c:v>814053.43139724457</c:v>
                      </c:pt>
                      <c:pt idx="18">
                        <c:v>869221.51223379292</c:v>
                      </c:pt>
                      <c:pt idx="19">
                        <c:v>925439.17961362691</c:v>
                      </c:pt>
                      <c:pt idx="20">
                        <c:v>982743.16906576161</c:v>
                      </c:pt>
                      <c:pt idx="21">
                        <c:v>1041171.5018627278</c:v>
                      </c:pt>
                      <c:pt idx="22">
                        <c:v>1100763.5300215946</c:v>
                      </c:pt>
                      <c:pt idx="23">
                        <c:v>1161559.9828800277</c:v>
                      </c:pt>
                      <c:pt idx="24">
                        <c:v>1223603.0153025133</c:v>
                      </c:pt>
                      <c:pt idx="25">
                        <c:v>1286936.2575737918</c:v>
                      </c:pt>
                      <c:pt idx="26">
                        <c:v>1351604.867038572</c:v>
                      </c:pt>
                      <c:pt idx="27">
                        <c:v>1417655.5815486258</c:v>
                      </c:pt>
                      <c:pt idx="28">
                        <c:v>1485136.7747805382</c:v>
                      </c:pt>
                      <c:pt idx="29">
                        <c:v>1554098.5134895742</c:v>
                      </c:pt>
                    </c:numCache>
                  </c:numRef>
                </c:val>
                <c:smooth val="0"/>
                <c:extLst xmlns:c15="http://schemas.microsoft.com/office/drawing/2012/chart">
                  <c:ext xmlns:c16="http://schemas.microsoft.com/office/drawing/2014/chart" uri="{C3380CC4-5D6E-409C-BE32-E72D297353CC}">
                    <c16:uniqueId val="{00000002-0CF2-4C58-88F0-63307AC26BC6}"/>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'With Loan'!$O$5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'With Loan'!$O$7:$O$36</c:f>
              <c:numCache>
                <c:formatCode>0.00%</c:formatCode>
                <c:ptCount val="30"/>
                <c:pt idx="0">
                  <c:v>-3.9172099208966332E-2</c:v>
                </c:pt>
                <c:pt idx="1">
                  <c:v>7.1180967822011748E-2</c:v>
                </c:pt>
                <c:pt idx="2">
                  <c:v>0.10969994820341177</c:v>
                </c:pt>
                <c:pt idx="3">
                  <c:v>0.13030717831577102</c:v>
                </c:pt>
                <c:pt idx="4">
                  <c:v>0.14378847280383406</c:v>
                </c:pt>
                <c:pt idx="5">
                  <c:v>0.15374026652209796</c:v>
                </c:pt>
                <c:pt idx="6">
                  <c:v>0.16170492178127263</c:v>
                </c:pt>
                <c:pt idx="7">
                  <c:v>0.16845455629707731</c:v>
                </c:pt>
                <c:pt idx="8">
                  <c:v>0.1744189868872551</c:v>
                </c:pt>
                <c:pt idx="9">
                  <c:v>0.17985690792717712</c:v>
                </c:pt>
                <c:pt idx="10">
                  <c:v>0.18493370065889936</c:v>
                </c:pt>
                <c:pt idx="11">
                  <c:v>0.18976033871969336</c:v>
                </c:pt>
                <c:pt idx="12">
                  <c:v>0.19441433810877512</c:v>
                </c:pt>
                <c:pt idx="13">
                  <c:v>0.1989517294012409</c:v>
                </c:pt>
                <c:pt idx="14">
                  <c:v>0.20341424185436327</c:v>
                </c:pt>
                <c:pt idx="15">
                  <c:v>0.20783379422975215</c:v>
                </c:pt>
                <c:pt idx="16">
                  <c:v>0.21223540135648739</c:v>
                </c:pt>
                <c:pt idx="17">
                  <c:v>0.216639112561167</c:v>
                </c:pt>
                <c:pt idx="18">
                  <c:v>0.22106133867023092</c:v>
                </c:pt>
                <c:pt idx="19">
                  <c:v>0.22551578160862912</c:v>
                </c:pt>
                <c:pt idx="20">
                  <c:v>0.23001409908676607</c:v>
                </c:pt>
                <c:pt idx="21">
                  <c:v>0.23456638868960375</c:v>
                </c:pt>
                <c:pt idx="22">
                  <c:v>0.23918154635606037</c:v>
                </c:pt>
                <c:pt idx="23">
                  <c:v>0.24386753590828669</c:v>
                </c:pt>
                <c:pt idx="24">
                  <c:v>0.24863159456014916</c:v>
                </c:pt>
                <c:pt idx="25">
                  <c:v>0.25348039166449915</c:v>
                </c:pt>
                <c:pt idx="26">
                  <c:v>0.25842015284567132</c:v>
                </c:pt>
                <c:pt idx="27">
                  <c:v>0.26345675819405107</c:v>
                </c:pt>
                <c:pt idx="28">
                  <c:v>0.26859582080675248</c:v>
                </c:pt>
                <c:pt idx="29">
                  <c:v>0.27384275028351668</c:v>
                </c:pt>
              </c:numCache>
            </c:numRef>
          </c:val>
          <c:smooth val="0"/>
          <c:extLst>
            <c:ext xmlns:c16="http://schemas.microsoft.com/office/drawing/2014/chart" uri="{C3380CC4-5D6E-409C-BE32-E72D297353CC}">
              <c16:uniqueId val="{00000000-F50A-4A7D-BD8C-8909B2749CF2}"/>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'With Loan'!$M$5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'With Loan'!$M$7:$M$36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F50A-4A7D-BD8C-8909B2749CF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'With Loan'!$N$5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'With Loan'!$N$7:$N$36</c15:sqref>
                        </c15:formulaRef>
                      </c:ext>
                    </c:extLst>
                    <c:numCache>
                      <c:formatCode>_("$"* #,##0_);_("$"* \(#,##0\);_("$"* "-"??_);_(@_)</c:formatCode>
                      <c:ptCount val="30"/>
                      <c:pt idx="0">
                        <c:v>-6305.6840492550909</c:v>
                      </c:pt>
                      <c:pt idx="1">
                        <c:v>22916.550425924615</c:v>
                      </c:pt>
                      <c:pt idx="2">
                        <c:v>52976.472608751203</c:v>
                      </c:pt>
                      <c:pt idx="3">
                        <c:v>83904.198386296135</c:v>
                      </c:pt>
                      <c:pt idx="4">
                        <c:v>115730.92810128868</c:v>
                      </c:pt>
                      <c:pt idx="5">
                        <c:v>148488.98566784791</c:v>
                      </c:pt>
                      <c:pt idx="6">
                        <c:v>182211.85910051301</c:v>
                      </c:pt>
                      <c:pt idx="7">
                        <c:v>216934.24250772572</c:v>
                      </c:pt>
                      <c:pt idx="8">
                        <c:v>252692.07960277132</c:v>
                      </c:pt>
                      <c:pt idx="9">
                        <c:v>289522.60878711008</c:v>
                      </c:pt>
                      <c:pt idx="10">
                        <c:v>327464.40986302204</c:v>
                      </c:pt>
                      <c:pt idx="11">
                        <c:v>366557.45243455039</c:v>
                      </c:pt>
                      <c:pt idx="12">
                        <c:v>406843.14605787001</c:v>
                      </c:pt>
                      <c:pt idx="13">
                        <c:v>448364.39220442635</c:v>
                      </c:pt>
                      <c:pt idx="14">
                        <c:v>491165.63810248097</c:v>
                      </c:pt>
                      <c:pt idx="15">
                        <c:v>535292.93252509157</c:v>
                      </c:pt>
                      <c:pt idx="16">
                        <c:v>580793.98359501094</c:v>
                      </c:pt>
                      <c:pt idx="17">
                        <c:v>627718.21867955429</c:v>
                      </c:pt>
                      <c:pt idx="18">
                        <c:v>676116.84645113209</c:v>
                      </c:pt>
                      <c:pt idx="19">
                        <c:v>726042.9211918927</c:v>
                      </c:pt>
                      <c:pt idx="20">
                        <c:v>777551.40942376235</c:v>
                      </c:pt>
                      <c:pt idx="21">
                        <c:v>830699.2589481282</c:v>
                      </c:pt>
                      <c:pt idx="22">
                        <c:v>885545.47038245469</c:v>
                      </c:pt>
                      <c:pt idx="23">
                        <c:v>942151.17128430528</c:v>
                      </c:pt>
                      <c:pt idx="24">
                        <c:v>1000579.6929565178</c:v>
                      </c:pt>
                      <c:pt idx="25">
                        <c:v>1060896.6500306819</c:v>
                      </c:pt>
                      <c:pt idx="26">
                        <c:v>1123170.0229296014</c:v>
                      </c:pt>
                      <c:pt idx="27">
                        <c:v>1187470.2433130741</c:v>
                      </c:pt>
                      <c:pt idx="28">
                        <c:v>1253870.2826151119</c:v>
                      </c:pt>
                      <c:pt idx="29">
                        <c:v>1322445.7437846477</c:v>
                      </c:pt>
                    </c:numCache>
                  </c:numRef>
                </c:val>
                <c:smooth val="0"/>
                <c:extLst xmlns:c15="http://schemas.microsoft.com/office/drawing/2012/chart">
                  <c:ext xmlns:c16="http://schemas.microsoft.com/office/drawing/2014/chart" uri="{C3380CC4-5D6E-409C-BE32-E72D297353CC}">
                    <c16:uniqueId val="{00000002-F50A-4A7D-BD8C-8909B2749CF2}"/>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'Owner Occupier'!$O$5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'Owner Occupier'!$O$7:$O$36</c:f>
              <c:numCache>
                <c:formatCode>0.00%</c:formatCode>
                <c:ptCount val="30"/>
                <c:pt idx="0">
                  <c:v>-0.35568714173899446</c:v>
                </c:pt>
                <c:pt idx="1">
                  <c:v>0.24753325424351574</c:v>
                </c:pt>
                <c:pt idx="2">
                  <c:v>0.4593243425830344</c:v>
                </c:pt>
                <c:pt idx="3">
                  <c:v>0.57356518954207725</c:v>
                </c:pt>
                <c:pt idx="4">
                  <c:v>0.64904109945305177</c:v>
                </c:pt>
                <c:pt idx="5">
                  <c:v>0.70535539205562259</c:v>
                </c:pt>
                <c:pt idx="6">
                  <c:v>0.75091680972863006</c:v>
                </c:pt>
                <c:pt idx="7">
                  <c:v>0.78993637882487611</c:v>
                </c:pt>
                <c:pt idx="8">
                  <c:v>0.82475970558948952</c:v>
                </c:pt>
                <c:pt idx="9">
                  <c:v>0.85679990277032814</c:v>
                </c:pt>
                <c:pt idx="10">
                  <c:v>0.88696165496164003</c:v>
                </c:pt>
                <c:pt idx="11">
                  <c:v>0.91585325870582912</c:v>
                </c:pt>
                <c:pt idx="12">
                  <c:v>0.94390080506586216</c:v>
                </c:pt>
                <c:pt idx="13">
                  <c:v>0.97141343369829525</c:v>
                </c:pt>
                <c:pt idx="14">
                  <c:v>0.99862249198425213</c:v>
                </c:pt>
                <c:pt idx="15">
                  <c:v>1.0257060160068152</c:v>
                </c:pt>
                <c:pt idx="16">
                  <c:v>1.0528045775665156</c:v>
                </c:pt>
                <c:pt idx="17">
                  <c:v>1.0800318551286219</c:v>
                </c:pt>
                <c:pt idx="18">
                  <c:v>1.1074818727552291</c:v>
                </c:pt>
                <c:pt idx="19">
                  <c:v>1.135234073463133</c:v>
                </c:pt>
                <c:pt idx="20">
                  <c:v>1.1633569490991016</c:v>
                </c:pt>
                <c:pt idx="21">
                  <c:v>1.1919106862544455</c:v>
                </c:pt>
                <c:pt idx="22">
                  <c:v>1.2209491279160702</c:v>
                </c:pt>
                <c:pt idx="23">
                  <c:v>1.2505212506611361</c:v>
                </c:pt>
                <c:pt idx="24">
                  <c:v>1.28067229327314</c:v>
                </c:pt>
                <c:pt idx="25">
                  <c:v>1.3114446308576588</c:v>
                </c:pt>
                <c:pt idx="26">
                  <c:v>1.3428784606699764</c:v>
                </c:pt>
                <c:pt idx="27">
                  <c:v>1.3750123469580804</c:v>
                </c:pt>
                <c:pt idx="28">
                  <c:v>1.4078836590843615</c:v>
                </c:pt>
                <c:pt idx="29">
                  <c:v>1.4415289280616135</c:v>
                </c:pt>
              </c:numCache>
            </c:numRef>
          </c:val>
          <c:smooth val="0"/>
          <c:extLst>
            <c:ext xmlns:c16="http://schemas.microsoft.com/office/drawing/2014/chart" uri="{C3380CC4-5D6E-409C-BE32-E72D297353CC}">
              <c16:uniqueId val="{00000000-3472-40B5-AC9C-E6F06108AAA9}"/>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'Owner Occupier'!$M$5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'Owner Occupier'!$M$7:$M$36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3472-40B5-AC9C-E6F06108AAA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'Owner Occupier'!$N$5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'Owner Occupier'!$N$7:$N$36</c15:sqref>
                        </c15:formulaRef>
                      </c:ext>
                    </c:extLst>
                    <c:numCache>
                      <c:formatCode>_("$"* #,##0_);_("$"* \(#,##0\);_("$"* "-"??_);_(@_)</c:formatCode>
                      <c:ptCount val="30"/>
                      <c:pt idx="0">
                        <c:v>-10505.75713923556</c:v>
                      </c:pt>
                      <c:pt idx="1">
                        <c:v>14622.537324530604</c:v>
                      </c:pt>
                      <c:pt idx="2">
                        <c:v>40700.515355070784</c:v>
                      </c:pt>
                      <c:pt idx="3">
                        <c:v>67764.457892834384</c:v>
                      </c:pt>
                      <c:pt idx="4">
                        <c:v>95852.047545196052</c:v>
                      </c:pt>
                      <c:pt idx="5">
                        <c:v>125002.42335818328</c:v>
                      </c:pt>
                      <c:pt idx="6">
                        <c:v>155256.23775281865</c:v>
                      </c:pt>
                      <c:pt idx="7">
                        <c:v>186655.71571257082</c:v>
                      </c:pt>
                      <c:pt idx="8">
                        <c:v>219244.71631189715</c:v>
                      </c:pt>
                      <c:pt idx="9">
                        <c:v>253068.7966794972</c:v>
                      </c:pt>
                      <c:pt idx="10">
                        <c:v>288175.27849368018</c:v>
                      </c:pt>
                      <c:pt idx="11">
                        <c:v>324613.31711118441</c:v>
                      </c:pt>
                      <c:pt idx="12">
                        <c:v>362433.97343488637</c:v>
                      </c:pt>
                      <c:pt idx="13">
                        <c:v>401690.28863010218</c:v>
                      </c:pt>
                      <c:pt idx="14">
                        <c:v>442437.3618036214</c:v>
                      </c:pt>
                      <c:pt idx="15">
                        <c:v>484732.43076423963</c:v>
                      </c:pt>
                      <c:pt idx="16">
                        <c:v>528634.95598835777</c:v>
                      </c:pt>
                      <c:pt idx="17">
                        <c:v>574206.70791922917</c:v>
                      </c:pt>
                      <c:pt idx="18">
                        <c:v>621511.85773364338</c:v>
                      </c:pt>
                      <c:pt idx="19">
                        <c:v>670617.07171526121</c:v>
                      </c:pt>
                      <c:pt idx="20">
                        <c:v>721591.60937945952</c:v>
                      </c:pt>
                      <c:pt idx="21">
                        <c:v>774507.42550042563</c:v>
                      </c:pt>
                      <c:pt idx="22">
                        <c:v>829439.27619735291</c:v>
                      </c:pt>
                      <c:pt idx="23">
                        <c:v>886464.82924296579</c:v>
                      </c:pt>
                      <c:pt idx="24">
                        <c:v>945664.77876422775</c:v>
                      </c:pt>
                      <c:pt idx="25">
                        <c:v>1007122.9645119826</c:v>
                      </c:pt>
                      <c:pt idx="26">
                        <c:v>1070926.4958834748</c:v>
                      </c:pt>
                      <c:pt idx="27">
                        <c:v>1137165.8808891657</c:v>
                      </c:pt>
                      <c:pt idx="28">
                        <c:v>1205935.1602630483</c:v>
                      </c:pt>
                      <c:pt idx="29">
                        <c:v>1277332.0469237743</c:v>
                      </c:pt>
                    </c:numCache>
                  </c:numRef>
                </c:val>
                <c:smooth val="0"/>
                <c:extLst xmlns:c15="http://schemas.microsoft.com/office/drawing/2012/chart">
                  <c:ext xmlns:c16="http://schemas.microsoft.com/office/drawing/2014/chart" uri="{C3380CC4-5D6E-409C-BE32-E72D297353CC}">
                    <c16:uniqueId val="{00000002-3472-40B5-AC9C-E6F06108AAA9}"/>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76759</xdr:colOff>
      <xdr:row>38</xdr:row>
      <xdr:rowOff>95250</xdr:rowOff>
    </xdr:from>
    <xdr:to>
      <xdr:col>4</xdr:col>
      <xdr:colOff>1229285</xdr:colOff>
      <xdr:row>42</xdr:row>
      <xdr:rowOff>133350</xdr:rowOff>
    </xdr:to>
    <xdr:sp macro="" textlink="">
      <xdr:nvSpPr>
        <xdr:cNvPr id="7" name="TextBox 3">
          <a:extLst>
            <a:ext uri="{FF2B5EF4-FFF2-40B4-BE49-F238E27FC236}">
              <a16:creationId xmlns:a16="http://schemas.microsoft.com/office/drawing/2014/main" id="{7039BF56-D730-64D7-B859-B0E1DD282887}"/>
            </a:ext>
          </a:extLst>
        </xdr:cNvPr>
        <xdr:cNvSpPr txBox="1"/>
      </xdr:nvSpPr>
      <xdr:spPr>
        <a:xfrm>
          <a:off x="76759" y="7324725"/>
          <a:ext cx="5734051"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u="none" strike="noStrike">
              <a:solidFill>
                <a:schemeClr val="dk1"/>
              </a:solidFill>
              <a:effectLst/>
              <a:latin typeface="+mn-lt"/>
              <a:ea typeface="+mn-ea"/>
              <a:cs typeface="+mn-cs"/>
            </a:rPr>
            <a:t>DISCLAIMER - </a:t>
          </a:r>
          <a:r>
            <a:rPr lang="en-US" sz="900" b="0" i="1" u="none" strike="noStrike">
              <a:solidFill>
                <a:schemeClr val="dk1"/>
              </a:solidFill>
              <a:effectLst/>
              <a:latin typeface="+mn-lt"/>
              <a:ea typeface="+mn-ea"/>
              <a:cs typeface="+mn-cs"/>
            </a:rPr>
            <a:t>Returns are based on assumptions. Actual returns will vary. Rosehaven Homes, LLC and Magnolia Village at Cinco Lakes, LLC  (the "Parties")</a:t>
          </a:r>
          <a:r>
            <a:rPr lang="en-US" sz="900" b="0" i="1" u="none" strike="noStrike" baseline="0">
              <a:solidFill>
                <a:schemeClr val="dk1"/>
              </a:solidFill>
              <a:effectLst/>
              <a:latin typeface="+mn-lt"/>
              <a:ea typeface="+mn-ea"/>
              <a:cs typeface="+mn-cs"/>
            </a:rPr>
            <a:t> </a:t>
          </a:r>
          <a:r>
            <a:rPr lang="en-US" sz="900" b="0" i="1" u="none" strike="noStrike">
              <a:solidFill>
                <a:schemeClr val="dk1"/>
              </a:solidFill>
              <a:effectLst/>
              <a:latin typeface="+mn-lt"/>
              <a:ea typeface="+mn-ea"/>
              <a:cs typeface="+mn-cs"/>
            </a:rPr>
            <a:t>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The Parities hereby disclaim any liability for the accuracy, completeness, or correctness of any information or assumptions provided. </a:t>
          </a:r>
          <a:r>
            <a:rPr lang="en-US" sz="900"/>
            <a:t> </a:t>
          </a:r>
        </a:p>
      </xdr:txBody>
    </xdr:sp>
    <xdr:clientData/>
  </xdr:twoCellAnchor>
  <xdr:twoCellAnchor editAs="oneCell">
    <xdr:from>
      <xdr:col>1</xdr:col>
      <xdr:colOff>1800225</xdr:colOff>
      <xdr:row>0</xdr:row>
      <xdr:rowOff>76200</xdr:rowOff>
    </xdr:from>
    <xdr:to>
      <xdr:col>3</xdr:col>
      <xdr:colOff>571500</xdr:colOff>
      <xdr:row>3</xdr:row>
      <xdr:rowOff>138196</xdr:rowOff>
    </xdr:to>
    <xdr:pic>
      <xdr:nvPicPr>
        <xdr:cNvPr id="13" name="Picture 12">
          <a:extLst>
            <a:ext uri="{FF2B5EF4-FFF2-40B4-BE49-F238E27FC236}">
              <a16:creationId xmlns:a16="http://schemas.microsoft.com/office/drawing/2014/main" id="{E5F5B517-63C9-0186-EEBF-61F9B97EA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76200"/>
          <a:ext cx="2000250" cy="633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626722</xdr:colOff>
      <xdr:row>3</xdr:row>
      <xdr:rowOff>8062</xdr:rowOff>
    </xdr:to>
    <xdr:pic>
      <xdr:nvPicPr>
        <xdr:cNvPr id="2" name="Picture 1">
          <a:extLst>
            <a:ext uri="{FF2B5EF4-FFF2-40B4-BE49-F238E27FC236}">
              <a16:creationId xmlns:a16="http://schemas.microsoft.com/office/drawing/2014/main" id="{503E81F2-F9C4-4D05-AD71-84085203C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BC16C3B8-6024-4C65-83F2-833C41994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645772</xdr:colOff>
      <xdr:row>3</xdr:row>
      <xdr:rowOff>8062</xdr:rowOff>
    </xdr:to>
    <xdr:pic>
      <xdr:nvPicPr>
        <xdr:cNvPr id="4" name="Picture 3">
          <a:extLst>
            <a:ext uri="{FF2B5EF4-FFF2-40B4-BE49-F238E27FC236}">
              <a16:creationId xmlns:a16="http://schemas.microsoft.com/office/drawing/2014/main" id="{6245581B-09C2-7A28-736B-AE93518CA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6468" y="36741"/>
          <a:ext cx="1868907" cy="617585"/>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2" name="Chart 1">
          <a:extLst>
            <a:ext uri="{FF2B5EF4-FFF2-40B4-BE49-F238E27FC236}">
              <a16:creationId xmlns:a16="http://schemas.microsoft.com/office/drawing/2014/main" id="{E27D4E81-4D61-4243-A311-D0EB4E10A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626723</xdr:colOff>
      <xdr:row>3</xdr:row>
      <xdr:rowOff>8062</xdr:rowOff>
    </xdr:to>
    <xdr:pic>
      <xdr:nvPicPr>
        <xdr:cNvPr id="2" name="Picture 1">
          <a:extLst>
            <a:ext uri="{FF2B5EF4-FFF2-40B4-BE49-F238E27FC236}">
              <a16:creationId xmlns:a16="http://schemas.microsoft.com/office/drawing/2014/main" id="{FCECE085-9FF9-4953-9F59-1A10FFCFE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23D44A74-3BA2-49A3-95D5-EC29C7042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16C9-0766-4342-B34D-6EAF51367B17}">
  <dimension ref="A5:E44"/>
  <sheetViews>
    <sheetView tabSelected="1" zoomScale="120" zoomScaleNormal="120" workbookViewId="0">
      <selection activeCell="B1" sqref="B1"/>
    </sheetView>
  </sheetViews>
  <sheetFormatPr defaultRowHeight="15" x14ac:dyDescent="0.25"/>
  <cols>
    <col min="1" max="1" width="1.28515625" style="10" customWidth="1"/>
    <col min="2" max="2" width="29.42578125" style="102" customWidth="1"/>
    <col min="3" max="5" width="19" style="102" customWidth="1"/>
    <col min="9" max="9" width="10.28515625" customWidth="1"/>
  </cols>
  <sheetData>
    <row r="5" spans="2:5" x14ac:dyDescent="0.25">
      <c r="B5" s="18" t="s">
        <v>106</v>
      </c>
      <c r="C5" s="91"/>
      <c r="D5" s="91"/>
      <c r="E5" s="91"/>
    </row>
    <row r="6" spans="2:5" x14ac:dyDescent="0.25">
      <c r="B6" s="90" t="s">
        <v>95</v>
      </c>
      <c r="C6" s="91"/>
      <c r="D6" s="91"/>
      <c r="E6" s="91"/>
    </row>
    <row r="7" spans="2:5" x14ac:dyDescent="0.25">
      <c r="B7" s="78" t="s">
        <v>97</v>
      </c>
      <c r="C7" s="78" t="s">
        <v>92</v>
      </c>
      <c r="D7" s="78" t="s">
        <v>98</v>
      </c>
      <c r="E7" s="78" t="s">
        <v>94</v>
      </c>
    </row>
    <row r="8" spans="2:5" x14ac:dyDescent="0.25">
      <c r="B8" s="91" t="s">
        <v>1</v>
      </c>
      <c r="C8" s="92">
        <v>495990</v>
      </c>
      <c r="D8" s="92">
        <v>495990</v>
      </c>
      <c r="E8" s="92">
        <v>495990</v>
      </c>
    </row>
    <row r="9" spans="2:5" x14ac:dyDescent="0.25">
      <c r="B9" s="93" t="s">
        <v>96</v>
      </c>
      <c r="C9" s="94">
        <v>0</v>
      </c>
      <c r="D9" s="94">
        <v>0.3</v>
      </c>
      <c r="E9" s="94">
        <v>3.5000000000000003E-2</v>
      </c>
    </row>
    <row r="10" spans="2:5" x14ac:dyDescent="0.25">
      <c r="B10" s="93" t="s">
        <v>99</v>
      </c>
      <c r="C10" s="94"/>
      <c r="D10" s="94">
        <v>3.7499999999999999E-2</v>
      </c>
      <c r="E10" s="94">
        <v>4.2500000000000003E-2</v>
      </c>
    </row>
    <row r="11" spans="2:5" x14ac:dyDescent="0.25">
      <c r="B11" s="93" t="s">
        <v>90</v>
      </c>
      <c r="C11" s="92">
        <v>1775</v>
      </c>
      <c r="D11" s="92">
        <v>1775</v>
      </c>
      <c r="E11" s="92">
        <v>1775</v>
      </c>
    </row>
    <row r="12" spans="2:5" x14ac:dyDescent="0.25">
      <c r="B12" s="93" t="s">
        <v>26</v>
      </c>
      <c r="C12" s="95">
        <v>3.5000000000000003E-2</v>
      </c>
      <c r="D12" s="95">
        <v>3.5000000000000003E-2</v>
      </c>
      <c r="E12" s="95">
        <v>3.5000000000000003E-2</v>
      </c>
    </row>
    <row r="13" spans="2:5" x14ac:dyDescent="0.25">
      <c r="B13" s="96" t="s">
        <v>103</v>
      </c>
      <c r="C13" s="97">
        <v>15</v>
      </c>
      <c r="D13" s="97">
        <v>15</v>
      </c>
      <c r="E13" s="97">
        <v>15</v>
      </c>
    </row>
    <row r="14" spans="2:5" ht="14.25" customHeight="1" x14ac:dyDescent="0.25">
      <c r="B14" s="104" t="s">
        <v>114</v>
      </c>
      <c r="C14" s="104"/>
      <c r="D14" s="104"/>
      <c r="E14" s="104"/>
    </row>
    <row r="15" spans="2:5" x14ac:dyDescent="0.25">
      <c r="B15" s="91"/>
      <c r="C15" s="91"/>
      <c r="D15" s="91"/>
      <c r="E15" s="91"/>
    </row>
    <row r="16" spans="2:5" x14ac:dyDescent="0.25">
      <c r="B16" s="90" t="s">
        <v>0</v>
      </c>
      <c r="C16" s="91"/>
      <c r="D16" s="91"/>
      <c r="E16" s="91"/>
    </row>
    <row r="17" spans="2:5" x14ac:dyDescent="0.25">
      <c r="B17" s="78" t="s">
        <v>97</v>
      </c>
      <c r="C17" s="78" t="s">
        <v>92</v>
      </c>
      <c r="D17" s="78" t="s">
        <v>93</v>
      </c>
      <c r="E17" s="78" t="s">
        <v>94</v>
      </c>
    </row>
    <row r="18" spans="2:5" x14ac:dyDescent="0.25">
      <c r="B18" s="91" t="s">
        <v>89</v>
      </c>
      <c r="C18" s="92">
        <f>'All Cash'!$D$25</f>
        <v>42600</v>
      </c>
      <c r="D18" s="92">
        <f>'With Loan'!I25</f>
        <v>42600</v>
      </c>
      <c r="E18" s="92">
        <f>'Owner Occupier'!D25</f>
        <v>21300</v>
      </c>
    </row>
    <row r="19" spans="2:5" x14ac:dyDescent="0.25">
      <c r="B19" s="98" t="s">
        <v>91</v>
      </c>
      <c r="C19" s="99">
        <f>'All Cash'!$D$26</f>
        <v>500990.00000000012</v>
      </c>
      <c r="D19" s="99">
        <f>'With Loan'!D38</f>
        <v>160973.86090076444</v>
      </c>
      <c r="E19" s="99">
        <f>'Owner Occupier'!D38</f>
        <v>29536.510900764453</v>
      </c>
    </row>
    <row r="20" spans="2:5" x14ac:dyDescent="0.25">
      <c r="B20" s="91" t="s">
        <v>28</v>
      </c>
      <c r="C20" s="92">
        <f>'All Cash'!$H$37</f>
        <v>377698.40828289994</v>
      </c>
      <c r="D20" s="92">
        <f>'With Loan'!$H$38</f>
        <v>88275.52343043685</v>
      </c>
      <c r="E20" s="92"/>
    </row>
    <row r="21" spans="2:5" x14ac:dyDescent="0.25">
      <c r="B21" s="91" t="s">
        <v>139</v>
      </c>
      <c r="C21" s="92"/>
      <c r="D21" s="92">
        <f>'With Loan'!$H$35</f>
        <v>126090.78676681407</v>
      </c>
      <c r="E21" s="92">
        <f>'Owner Occupier'!$H$34</f>
        <v>78140.963490429524</v>
      </c>
    </row>
    <row r="22" spans="2:5" x14ac:dyDescent="0.25">
      <c r="B22" s="91" t="s">
        <v>138</v>
      </c>
      <c r="C22" s="92">
        <f>'All Cash'!$H$33</f>
        <v>334966.2665647635</v>
      </c>
      <c r="D22" s="92">
        <f>'With Loan'!$H$33</f>
        <v>334966.2665647635</v>
      </c>
      <c r="E22" s="92">
        <f>'Owner Occupier'!$H$32</f>
        <v>334966.2665647635</v>
      </c>
    </row>
    <row r="23" spans="2:5" x14ac:dyDescent="0.25">
      <c r="B23" s="98" t="s">
        <v>105</v>
      </c>
      <c r="C23" s="99">
        <f>'All Cash'!$D$29</f>
        <v>654497.73618812999</v>
      </c>
      <c r="D23" s="99">
        <f>'With Loan'!H39</f>
        <v>491165.63810248097</v>
      </c>
      <c r="E23" s="99">
        <f>'Owner Occupier'!D31</f>
        <v>354940.29139565956</v>
      </c>
    </row>
    <row r="24" spans="2:5" x14ac:dyDescent="0.25">
      <c r="B24" s="91" t="s">
        <v>137</v>
      </c>
      <c r="C24" s="94">
        <f>'All Cash'!$D$30</f>
        <v>8.7093918865729827E-2</v>
      </c>
      <c r="D24" s="94">
        <f>'With Loan'!H43</f>
        <v>0.20341424185436327</v>
      </c>
      <c r="E24" s="94">
        <f>'Owner Occupier'!H38</f>
        <v>0.80113342339401172</v>
      </c>
    </row>
    <row r="25" spans="2:5" x14ac:dyDescent="0.25">
      <c r="B25" s="91" t="s">
        <v>124</v>
      </c>
      <c r="C25" s="94">
        <f>'All Cash'!H43</f>
        <v>7.5977261146696229E-2</v>
      </c>
      <c r="D25" s="94">
        <f>'With Loan'!H44</f>
        <v>0.10815371623061054</v>
      </c>
      <c r="E25" s="94"/>
    </row>
    <row r="26" spans="2:5" x14ac:dyDescent="0.25">
      <c r="B26" s="91" t="s">
        <v>100</v>
      </c>
      <c r="C26" s="94">
        <f>'All Cash'!$D$32</f>
        <v>5.0766938618775917E-2</v>
      </c>
      <c r="D26" s="94"/>
      <c r="E26" s="94"/>
    </row>
    <row r="27" spans="2:5" x14ac:dyDescent="0.25">
      <c r="B27" s="91" t="s">
        <v>101</v>
      </c>
      <c r="C27" s="94"/>
      <c r="D27" s="94">
        <f>'With Loan'!H41</f>
        <v>3.655894728766184E-2</v>
      </c>
      <c r="E27" s="94"/>
    </row>
    <row r="28" spans="2:5" x14ac:dyDescent="0.25">
      <c r="B28" s="91" t="s">
        <v>102</v>
      </c>
      <c r="C28" s="94"/>
      <c r="D28" s="94">
        <f>D27+D12</f>
        <v>7.155894728766185E-2</v>
      </c>
      <c r="E28" s="94"/>
    </row>
    <row r="29" spans="2:5" x14ac:dyDescent="0.25">
      <c r="B29" s="98" t="s">
        <v>104</v>
      </c>
      <c r="C29" s="99"/>
      <c r="D29" s="99"/>
      <c r="E29" s="99">
        <f>-1*'Owner Occupier'!H26</f>
        <v>1871.8532326972404</v>
      </c>
    </row>
    <row r="30" spans="2:5" x14ac:dyDescent="0.25">
      <c r="B30" s="91"/>
      <c r="C30" s="92"/>
      <c r="D30" s="92"/>
      <c r="E30" s="92"/>
    </row>
    <row r="31" spans="2:5" x14ac:dyDescent="0.25">
      <c r="B31" s="90" t="s">
        <v>113</v>
      </c>
      <c r="C31" s="91"/>
      <c r="D31" s="91"/>
      <c r="E31" s="91"/>
    </row>
    <row r="32" spans="2:5" x14ac:dyDescent="0.25">
      <c r="B32" s="78" t="s">
        <v>97</v>
      </c>
      <c r="C32" s="78" t="s">
        <v>107</v>
      </c>
      <c r="D32" s="78" t="s">
        <v>108</v>
      </c>
      <c r="E32" s="78" t="s">
        <v>109</v>
      </c>
    </row>
    <row r="33" spans="2:5" x14ac:dyDescent="0.25">
      <c r="B33" s="91" t="s">
        <v>84</v>
      </c>
      <c r="C33" s="92">
        <f>C8</f>
        <v>495990</v>
      </c>
      <c r="D33" s="92">
        <v>475000</v>
      </c>
      <c r="E33" s="92">
        <v>565000</v>
      </c>
    </row>
    <row r="34" spans="2:5" x14ac:dyDescent="0.25">
      <c r="B34" s="91" t="s">
        <v>111</v>
      </c>
      <c r="C34" s="92">
        <f>C11</f>
        <v>1775</v>
      </c>
      <c r="D34" s="92">
        <v>1450</v>
      </c>
      <c r="E34" s="92">
        <v>1725</v>
      </c>
    </row>
    <row r="35" spans="2:5" x14ac:dyDescent="0.25">
      <c r="B35" s="91" t="s">
        <v>110</v>
      </c>
      <c r="C35" s="92">
        <f>C34*2</f>
        <v>3550</v>
      </c>
      <c r="D35" s="92">
        <f>D34*2</f>
        <v>2900</v>
      </c>
      <c r="E35" s="92">
        <f>E34*2</f>
        <v>3450</v>
      </c>
    </row>
    <row r="36" spans="2:5" x14ac:dyDescent="0.25">
      <c r="B36" s="100" t="s">
        <v>112</v>
      </c>
      <c r="C36" s="101">
        <f>C35/C33</f>
        <v>7.1574023669832053E-3</v>
      </c>
      <c r="D36" s="101">
        <f>D35/D33</f>
        <v>6.1052631578947369E-3</v>
      </c>
      <c r="E36" s="101">
        <f>E35/E33</f>
        <v>6.1061946902654868E-3</v>
      </c>
    </row>
    <row r="37" spans="2:5" ht="15" customHeight="1" x14ac:dyDescent="0.25">
      <c r="B37" s="105" t="s">
        <v>140</v>
      </c>
      <c r="C37" s="105"/>
      <c r="D37" s="105"/>
      <c r="E37" s="105"/>
    </row>
    <row r="38" spans="2:5" x14ac:dyDescent="0.25">
      <c r="B38" s="106"/>
      <c r="C38" s="106"/>
      <c r="D38" s="106"/>
      <c r="E38" s="106"/>
    </row>
    <row r="43" spans="2:5" x14ac:dyDescent="0.25">
      <c r="E43" s="103"/>
    </row>
    <row r="44" spans="2:5" x14ac:dyDescent="0.25">
      <c r="B44" s="107" t="s">
        <v>71</v>
      </c>
      <c r="C44" s="107"/>
      <c r="D44" s="107"/>
      <c r="E44" s="107"/>
    </row>
  </sheetData>
  <mergeCells count="3">
    <mergeCell ref="B14:E14"/>
    <mergeCell ref="B37:E38"/>
    <mergeCell ref="B44:E4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BC52-B97A-49E2-8435-53CAD6E7E736}">
  <sheetPr>
    <pageSetUpPr fitToPage="1"/>
  </sheetPr>
  <dimension ref="A1:Z70"/>
  <sheetViews>
    <sheetView zoomScale="85" zoomScaleNormal="85" workbookViewId="0">
      <selection activeCell="B1" sqref="B1:I1"/>
    </sheetView>
  </sheetViews>
  <sheetFormatPr defaultRowHeight="15" x14ac:dyDescent="0.25"/>
  <cols>
    <col min="1" max="1" width="2.85546875" customWidth="1"/>
    <col min="2" max="2" width="43.85546875" customWidth="1"/>
    <col min="3" max="3" width="9" customWidth="1"/>
    <col min="4" max="4" width="12.7109375" style="8" customWidth="1"/>
    <col min="5" max="5" width="13.140625" style="9" customWidth="1"/>
    <col min="6" max="6" width="5.28515625" customWidth="1"/>
    <col min="7" max="7" width="47.5703125" bestFit="1" customWidth="1"/>
    <col min="8" max="8" width="14.140625" bestFit="1" customWidth="1"/>
    <col min="9" max="9" width="13.140625" customWidth="1"/>
    <col min="10" max="10" width="13.42578125" bestFit="1" customWidth="1"/>
    <col min="12" max="12" width="9" style="30" customWidth="1"/>
    <col min="13" max="13" width="9.28515625" style="30" customWidth="1"/>
    <col min="14" max="14" width="20.28515625" style="30" customWidth="1"/>
    <col min="15" max="15" width="20.85546875" style="30" customWidth="1"/>
    <col min="16" max="16" width="26.28515625" style="30" customWidth="1"/>
    <col min="17" max="17" width="19.28515625" style="30" customWidth="1"/>
    <col min="18" max="18" width="9.5703125" style="30" customWidth="1"/>
    <col min="19" max="19" width="12.7109375" style="30" customWidth="1"/>
    <col min="20" max="20" width="12.5703125" style="30" customWidth="1"/>
    <col min="21" max="21" width="17.5703125" style="30" customWidth="1"/>
    <col min="22" max="22" width="16.42578125" style="30" customWidth="1"/>
    <col min="23" max="23" width="24.140625" style="30" customWidth="1"/>
    <col min="24" max="24" width="13.5703125" style="30" customWidth="1"/>
    <col min="25" max="25" width="12.42578125" style="30" customWidth="1"/>
    <col min="26" max="26" width="20.5703125" customWidth="1"/>
  </cols>
  <sheetData>
    <row r="1" spans="1:26" x14ac:dyDescent="0.25">
      <c r="A1" s="10"/>
      <c r="B1" s="110"/>
      <c r="C1" s="110"/>
      <c r="D1" s="110"/>
      <c r="E1" s="110"/>
      <c r="F1" s="110"/>
      <c r="G1" s="110"/>
      <c r="H1" s="110"/>
      <c r="I1" s="110"/>
    </row>
    <row r="2" spans="1:26" x14ac:dyDescent="0.25">
      <c r="A2" s="10"/>
      <c r="B2" s="110"/>
      <c r="C2" s="110"/>
      <c r="D2" s="110"/>
      <c r="E2" s="110"/>
      <c r="F2" s="110"/>
      <c r="G2" s="110"/>
      <c r="H2" s="110"/>
      <c r="I2" s="110"/>
    </row>
    <row r="3" spans="1:26" ht="23.25" customHeight="1" x14ac:dyDescent="0.25">
      <c r="A3" s="10"/>
      <c r="B3" s="110"/>
      <c r="C3" s="110"/>
      <c r="D3" s="110"/>
      <c r="E3" s="110"/>
      <c r="F3" s="110"/>
      <c r="G3" s="110"/>
      <c r="H3" s="110"/>
      <c r="I3" s="110"/>
    </row>
    <row r="4" spans="1:26" ht="22.5" x14ac:dyDescent="0.3">
      <c r="A4" s="10"/>
      <c r="B4" s="111" t="s">
        <v>72</v>
      </c>
      <c r="C4" s="111"/>
      <c r="D4" s="111"/>
      <c r="E4" s="111"/>
      <c r="F4" s="111"/>
      <c r="G4" s="111"/>
      <c r="H4" s="111"/>
      <c r="I4" s="111"/>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122</v>
      </c>
      <c r="Z5" s="33" t="s">
        <v>123</v>
      </c>
    </row>
    <row r="6" spans="1:26" ht="14.25" customHeight="1" x14ac:dyDescent="0.25">
      <c r="A6" s="10"/>
      <c r="B6" s="43"/>
      <c r="C6" s="43"/>
      <c r="D6" s="44"/>
      <c r="E6" s="45"/>
      <c r="F6" s="43"/>
      <c r="G6" s="43"/>
      <c r="H6" s="43"/>
      <c r="I6" s="43"/>
      <c r="M6" s="30">
        <v>0</v>
      </c>
      <c r="X6" s="34">
        <f>-$D$38</f>
        <v>-500990.00000000012</v>
      </c>
      <c r="Z6" s="70">
        <f t="shared" ref="Z6:Z36" si="0">IF($H$32&gt;=M6,SUM(X6:Y6),0)</f>
        <v>-500990.00000000012</v>
      </c>
    </row>
    <row r="7" spans="1:26" ht="14.25" customHeight="1" x14ac:dyDescent="0.25">
      <c r="A7" s="10"/>
      <c r="B7" s="43"/>
      <c r="C7" s="43"/>
      <c r="D7" s="44"/>
      <c r="E7" s="45"/>
      <c r="F7" s="43"/>
      <c r="G7" s="43"/>
      <c r="H7" s="43"/>
      <c r="I7" s="43"/>
      <c r="M7" s="30">
        <v>1</v>
      </c>
      <c r="N7" s="34">
        <f t="shared" ref="N7:N36" si="1">W7+T7+U7-V7</f>
        <v>6605.0683855266252</v>
      </c>
      <c r="O7" s="35">
        <f t="shared" ref="O7:O36" si="2">N7/P7/M7</f>
        <v>1.3184032386927131E-2</v>
      </c>
      <c r="P7" s="36">
        <f>'All Cash'!$D$38</f>
        <v>500990.00000000012</v>
      </c>
      <c r="Q7" s="37">
        <f>'All Cash'!$H$31</f>
        <v>3.5000000000000003E-2</v>
      </c>
      <c r="R7" s="38">
        <f>'All Cash'!$D$24</f>
        <v>495990</v>
      </c>
      <c r="S7" s="38">
        <v>0</v>
      </c>
      <c r="T7" s="39">
        <f t="shared" ref="T7:T36" si="3">$R$7*(1+Q7)^M7-$R$7</f>
        <v>17359.649999999965</v>
      </c>
      <c r="U7" s="39">
        <v>0</v>
      </c>
      <c r="V7" s="39">
        <f>(R7+T7)*'All Cash'!$H$35</f>
        <v>35934.4755</v>
      </c>
      <c r="W7" s="36">
        <f>'All Cash'!$I$27*'All Cash'!$M7</f>
        <v>25179.893885526664</v>
      </c>
      <c r="X7" s="34">
        <f t="shared" ref="X7:X36" si="4">$I$28</f>
        <v>27735.893885526664</v>
      </c>
      <c r="Y7" s="80">
        <f t="shared" ref="Y7:Y36" si="5">IF($H$32=$M7,R7+T7-V7,0)</f>
        <v>0</v>
      </c>
      <c r="Z7" s="70">
        <f t="shared" si="0"/>
        <v>27735.893885526664</v>
      </c>
    </row>
    <row r="8" spans="1:26" ht="14.25" customHeight="1" x14ac:dyDescent="0.25">
      <c r="A8" s="10"/>
      <c r="B8" s="43"/>
      <c r="C8" s="43"/>
      <c r="D8" s="44"/>
      <c r="E8" s="45"/>
      <c r="F8" s="43"/>
      <c r="G8" s="43"/>
      <c r="H8" s="43"/>
      <c r="I8" s="43"/>
      <c r="M8" s="30">
        <v>2</v>
      </c>
      <c r="N8" s="34">
        <f t="shared" si="1"/>
        <v>48494.493378553314</v>
      </c>
      <c r="O8" s="35">
        <f t="shared" si="2"/>
        <v>4.8398664023786203E-2</v>
      </c>
      <c r="P8" s="36">
        <f>'All Cash'!$D$38</f>
        <v>500990.00000000012</v>
      </c>
      <c r="Q8" s="37">
        <f>'All Cash'!$H$31</f>
        <v>3.5000000000000003E-2</v>
      </c>
      <c r="R8" s="38">
        <f>'All Cash'!$D$24</f>
        <v>495990</v>
      </c>
      <c r="S8" s="38">
        <v>0</v>
      </c>
      <c r="T8" s="39">
        <f t="shared" si="3"/>
        <v>35326.887749999994</v>
      </c>
      <c r="U8" s="39">
        <v>0</v>
      </c>
      <c r="V8" s="39">
        <f>(R8+T8)*'All Cash'!$H$35</f>
        <v>37192.182142500002</v>
      </c>
      <c r="W8" s="36">
        <f>'All Cash'!$I$27*'All Cash'!$M8</f>
        <v>50359.787771053328</v>
      </c>
      <c r="X8" s="34">
        <f t="shared" si="4"/>
        <v>27735.893885526664</v>
      </c>
      <c r="Y8" s="80">
        <f t="shared" si="5"/>
        <v>0</v>
      </c>
      <c r="Z8" s="70">
        <f t="shared" si="0"/>
        <v>27735.893885526664</v>
      </c>
    </row>
    <row r="9" spans="1:26" ht="14.25" customHeight="1" x14ac:dyDescent="0.25">
      <c r="A9" s="10"/>
      <c r="B9" s="43"/>
      <c r="C9" s="43"/>
      <c r="D9" s="44"/>
      <c r="E9" s="45"/>
      <c r="F9" s="43"/>
      <c r="G9" s="43"/>
      <c r="H9" s="43"/>
      <c r="I9" s="43"/>
      <c r="M9" s="30">
        <v>3</v>
      </c>
      <c r="N9" s="34">
        <f t="shared" si="1"/>
        <v>90968.751960342401</v>
      </c>
      <c r="O9" s="35">
        <f t="shared" si="2"/>
        <v>6.0525993173744241E-2</v>
      </c>
      <c r="P9" s="36">
        <f>'All Cash'!$D$38</f>
        <v>500990.00000000012</v>
      </c>
      <c r="Q9" s="37">
        <f>'All Cash'!$H$31</f>
        <v>3.5000000000000003E-2</v>
      </c>
      <c r="R9" s="38">
        <f>'All Cash'!$D$24</f>
        <v>495990</v>
      </c>
      <c r="S9" s="38">
        <v>0</v>
      </c>
      <c r="T9" s="39">
        <f t="shared" si="3"/>
        <v>53922.978821249912</v>
      </c>
      <c r="U9" s="39">
        <v>0</v>
      </c>
      <c r="V9" s="39">
        <f>(R9+T9)*'All Cash'!$H$35</f>
        <v>38493.9085174875</v>
      </c>
      <c r="W9" s="36">
        <f>'All Cash'!$I$27*'All Cash'!$M9</f>
        <v>75539.681656579996</v>
      </c>
      <c r="X9" s="34">
        <f t="shared" si="4"/>
        <v>27735.893885526664</v>
      </c>
      <c r="Y9" s="80">
        <f t="shared" si="5"/>
        <v>0</v>
      </c>
      <c r="Z9" s="70">
        <f t="shared" si="0"/>
        <v>27735.893885526664</v>
      </c>
    </row>
    <row r="10" spans="1:26" ht="14.25" customHeight="1" x14ac:dyDescent="0.25">
      <c r="A10" s="10"/>
      <c r="B10" s="43"/>
      <c r="C10" s="43"/>
      <c r="D10" s="44"/>
      <c r="E10" s="45"/>
      <c r="F10" s="43"/>
      <c r="G10" s="43"/>
      <c r="H10" s="43"/>
      <c r="I10" s="43"/>
      <c r="M10" s="30">
        <v>4</v>
      </c>
      <c r="N10" s="34">
        <f t="shared" si="1"/>
        <v>134048.31330650067</v>
      </c>
      <c r="O10" s="35">
        <f t="shared" si="2"/>
        <v>6.6891711065340947E-2</v>
      </c>
      <c r="P10" s="36">
        <f>'All Cash'!$D$38</f>
        <v>500990.00000000012</v>
      </c>
      <c r="Q10" s="37">
        <f>'All Cash'!$H$31</f>
        <v>3.5000000000000003E-2</v>
      </c>
      <c r="R10" s="38">
        <f>'All Cash'!$D$24</f>
        <v>495990</v>
      </c>
      <c r="S10" s="38">
        <v>0</v>
      </c>
      <c r="T10" s="39">
        <f t="shared" si="3"/>
        <v>73169.933079993585</v>
      </c>
      <c r="U10" s="39">
        <v>0</v>
      </c>
      <c r="V10" s="39">
        <f>(R10+T10)*'All Cash'!$H$35</f>
        <v>39841.195315599558</v>
      </c>
      <c r="W10" s="36">
        <f>'All Cash'!$I$27*'All Cash'!$M10</f>
        <v>100719.57554210666</v>
      </c>
      <c r="X10" s="34">
        <f t="shared" si="4"/>
        <v>27735.893885526664</v>
      </c>
      <c r="Y10" s="80">
        <f t="shared" si="5"/>
        <v>0</v>
      </c>
      <c r="Z10" s="70">
        <f t="shared" si="0"/>
        <v>27735.893885526664</v>
      </c>
    </row>
    <row r="11" spans="1:26" ht="14.25" customHeight="1" x14ac:dyDescent="0.25">
      <c r="A11" s="10"/>
      <c r="B11" s="43"/>
      <c r="C11" s="43"/>
      <c r="D11" s="44"/>
      <c r="E11" s="45"/>
      <c r="F11" s="43"/>
      <c r="G11" s="43"/>
      <c r="H11" s="43"/>
      <c r="I11" s="43"/>
      <c r="M11" s="30">
        <v>5</v>
      </c>
      <c r="N11" s="34">
        <f t="shared" si="1"/>
        <v>177754.36301378111</v>
      </c>
      <c r="O11" s="35">
        <f t="shared" si="2"/>
        <v>7.0961241946458448E-2</v>
      </c>
      <c r="P11" s="36">
        <f>'All Cash'!$D$38</f>
        <v>500990.00000000012</v>
      </c>
      <c r="Q11" s="37">
        <f>'All Cash'!$H$31</f>
        <v>3.5000000000000003E-2</v>
      </c>
      <c r="R11" s="38">
        <f>'All Cash'!$D$24</f>
        <v>495990</v>
      </c>
      <c r="S11" s="38">
        <v>0</v>
      </c>
      <c r="T11" s="39">
        <f t="shared" si="3"/>
        <v>93090.530737793306</v>
      </c>
      <c r="U11" s="39">
        <v>0</v>
      </c>
      <c r="V11" s="39">
        <f>(R11+T11)*'All Cash'!$H$35</f>
        <v>41235.637151645533</v>
      </c>
      <c r="W11" s="36">
        <f>'All Cash'!$I$27*'All Cash'!$M11</f>
        <v>125899.46942763332</v>
      </c>
      <c r="X11" s="34">
        <f t="shared" si="4"/>
        <v>27735.893885526664</v>
      </c>
      <c r="Y11" s="80">
        <f t="shared" si="5"/>
        <v>0</v>
      </c>
      <c r="Z11" s="70">
        <f t="shared" si="0"/>
        <v>27735.893885526664</v>
      </c>
    </row>
    <row r="12" spans="1:26" ht="14.25" customHeight="1" x14ac:dyDescent="0.25">
      <c r="A12" s="10"/>
      <c r="B12" s="43"/>
      <c r="C12" s="43"/>
      <c r="D12" s="44"/>
      <c r="E12" s="45"/>
      <c r="F12" s="43"/>
      <c r="G12" s="43"/>
      <c r="H12" s="43"/>
      <c r="I12" s="43"/>
      <c r="M12" s="30">
        <v>6</v>
      </c>
      <c r="N12" s="34">
        <f t="shared" si="1"/>
        <v>222108.82817482296</v>
      </c>
      <c r="O12" s="35">
        <f t="shared" si="2"/>
        <v>7.3889973909932641E-2</v>
      </c>
      <c r="P12" s="36">
        <f>'All Cash'!$D$38</f>
        <v>500990.00000000012</v>
      </c>
      <c r="Q12" s="37">
        <f>'All Cash'!$H$31</f>
        <v>3.5000000000000003E-2</v>
      </c>
      <c r="R12" s="38">
        <f>'All Cash'!$D$24</f>
        <v>495990</v>
      </c>
      <c r="S12" s="38">
        <v>0</v>
      </c>
      <c r="T12" s="39">
        <f t="shared" si="3"/>
        <v>113708.34931361605</v>
      </c>
      <c r="U12" s="39">
        <v>0</v>
      </c>
      <c r="V12" s="39">
        <f>(R12+T12)*'All Cash'!$H$35</f>
        <v>42678.884451953127</v>
      </c>
      <c r="W12" s="36">
        <f>'All Cash'!$I$27*'All Cash'!$M12</f>
        <v>151079.36331315999</v>
      </c>
      <c r="X12" s="34">
        <f t="shared" si="4"/>
        <v>27735.893885526664</v>
      </c>
      <c r="Y12" s="80">
        <f t="shared" si="5"/>
        <v>0</v>
      </c>
      <c r="Z12" s="70">
        <f t="shared" si="0"/>
        <v>27735.893885526664</v>
      </c>
    </row>
    <row r="13" spans="1:26" ht="14.25" customHeight="1" x14ac:dyDescent="0.25">
      <c r="A13" s="10"/>
      <c r="B13" s="43"/>
      <c r="C13" s="43"/>
      <c r="D13" s="44"/>
      <c r="E13" s="45"/>
      <c r="F13" s="43"/>
      <c r="G13" s="43"/>
      <c r="H13" s="43"/>
      <c r="I13" s="43"/>
      <c r="M13" s="30">
        <v>7</v>
      </c>
      <c r="N13" s="34">
        <f t="shared" si="1"/>
        <v>267134.40333050775</v>
      </c>
      <c r="O13" s="35">
        <f t="shared" si="2"/>
        <v>7.6173292118892497E-2</v>
      </c>
      <c r="P13" s="36">
        <f>'All Cash'!$D$38</f>
        <v>500990.00000000012</v>
      </c>
      <c r="Q13" s="37">
        <f>'All Cash'!$H$31</f>
        <v>3.5000000000000003E-2</v>
      </c>
      <c r="R13" s="38">
        <f>'All Cash'!$D$24</f>
        <v>495990</v>
      </c>
      <c r="S13" s="38">
        <v>0</v>
      </c>
      <c r="T13" s="39">
        <f t="shared" si="3"/>
        <v>135047.79153959255</v>
      </c>
      <c r="U13" s="39">
        <v>0</v>
      </c>
      <c r="V13" s="39">
        <f>(R13+T13)*'All Cash'!$H$35</f>
        <v>44172.645407771481</v>
      </c>
      <c r="W13" s="36">
        <f>'All Cash'!$I$27*'All Cash'!$M13</f>
        <v>176259.25719868665</v>
      </c>
      <c r="X13" s="34">
        <f t="shared" si="4"/>
        <v>27735.893885526664</v>
      </c>
      <c r="Y13" s="80">
        <f t="shared" si="5"/>
        <v>0</v>
      </c>
      <c r="Z13" s="70">
        <f t="shared" si="0"/>
        <v>27735.893885526664</v>
      </c>
    </row>
    <row r="14" spans="1:26" ht="14.25" customHeight="1" x14ac:dyDescent="0.25">
      <c r="A14" s="10"/>
      <c r="B14" s="43"/>
      <c r="C14" s="43"/>
      <c r="D14" s="44"/>
      <c r="E14" s="45"/>
      <c r="F14" s="43"/>
      <c r="G14" s="43"/>
      <c r="H14" s="43"/>
      <c r="I14" s="43"/>
      <c r="M14" s="30">
        <v>8</v>
      </c>
      <c r="N14" s="34">
        <f t="shared" si="1"/>
        <v>312854.57733064797</v>
      </c>
      <c r="O14" s="35">
        <f t="shared" si="2"/>
        <v>7.8059087339729313E-2</v>
      </c>
      <c r="P14" s="36">
        <f>'All Cash'!$D$38</f>
        <v>500990.00000000012</v>
      </c>
      <c r="Q14" s="37">
        <f>'All Cash'!$H$31</f>
        <v>3.5000000000000003E-2</v>
      </c>
      <c r="R14" s="38">
        <f>'All Cash'!$D$24</f>
        <v>495990</v>
      </c>
      <c r="S14" s="38">
        <v>0</v>
      </c>
      <c r="T14" s="39">
        <f t="shared" si="3"/>
        <v>157134.11424347817</v>
      </c>
      <c r="U14" s="39">
        <v>0</v>
      </c>
      <c r="V14" s="39">
        <f>(R14+T14)*'All Cash'!$H$35</f>
        <v>45718.687997043475</v>
      </c>
      <c r="W14" s="36">
        <f>'All Cash'!$I$27*'All Cash'!$M14</f>
        <v>201439.15108421331</v>
      </c>
      <c r="X14" s="34">
        <f t="shared" si="4"/>
        <v>27735.893885526664</v>
      </c>
      <c r="Y14" s="80">
        <f t="shared" si="5"/>
        <v>0</v>
      </c>
      <c r="Z14" s="70">
        <f t="shared" si="0"/>
        <v>27735.893885526664</v>
      </c>
    </row>
    <row r="15" spans="1:26" ht="14.25" customHeight="1" x14ac:dyDescent="0.25">
      <c r="A15" s="10"/>
      <c r="B15" s="43"/>
      <c r="C15" s="43"/>
      <c r="D15" s="44"/>
      <c r="E15" s="45"/>
      <c r="F15" s="43"/>
      <c r="G15" s="43"/>
      <c r="H15" s="43"/>
      <c r="I15" s="43"/>
      <c r="M15" s="30">
        <v>9</v>
      </c>
      <c r="N15" s="34">
        <f t="shared" si="1"/>
        <v>359293.66113479983</v>
      </c>
      <c r="O15" s="35">
        <f t="shared" si="2"/>
        <v>7.9685258994923333E-2</v>
      </c>
      <c r="P15" s="36">
        <f>'All Cash'!$D$38</f>
        <v>500990.00000000012</v>
      </c>
      <c r="Q15" s="37">
        <f>'All Cash'!$H$31</f>
        <v>3.5000000000000003E-2</v>
      </c>
      <c r="R15" s="38">
        <f>'All Cash'!$D$24</f>
        <v>495990</v>
      </c>
      <c r="S15" s="38">
        <v>0</v>
      </c>
      <c r="T15" s="39">
        <f t="shared" si="3"/>
        <v>179993.45824199985</v>
      </c>
      <c r="U15" s="39">
        <v>0</v>
      </c>
      <c r="V15" s="39">
        <f>(R15+T15)*'All Cash'!$H$35</f>
        <v>47318.842076939996</v>
      </c>
      <c r="W15" s="36">
        <f>'All Cash'!$I$27*'All Cash'!$M15</f>
        <v>226619.04496973997</v>
      </c>
      <c r="X15" s="34">
        <f t="shared" si="4"/>
        <v>27735.893885526664</v>
      </c>
      <c r="Y15" s="80">
        <f t="shared" si="5"/>
        <v>0</v>
      </c>
      <c r="Z15" s="70">
        <f t="shared" si="0"/>
        <v>27735.893885526664</v>
      </c>
    </row>
    <row r="16" spans="1:26" ht="14.25" customHeight="1" x14ac:dyDescent="0.25">
      <c r="A16" s="10"/>
      <c r="B16" s="43"/>
      <c r="C16" s="43"/>
      <c r="D16" s="44"/>
      <c r="E16" s="45"/>
      <c r="F16" s="43"/>
      <c r="G16" s="43"/>
      <c r="H16" s="43"/>
      <c r="I16" s="43"/>
      <c r="M16" s="30">
        <v>10</v>
      </c>
      <c r="N16" s="34">
        <f t="shared" si="1"/>
        <v>406476.81658610364</v>
      </c>
      <c r="O16" s="35">
        <f t="shared" si="2"/>
        <v>8.113471657839548E-2</v>
      </c>
      <c r="P16" s="36">
        <f>'All Cash'!$D$38</f>
        <v>500990.00000000012</v>
      </c>
      <c r="Q16" s="37">
        <f>'All Cash'!$H$31</f>
        <v>3.5000000000000003E-2</v>
      </c>
      <c r="R16" s="38">
        <f>'All Cash'!$D$24</f>
        <v>495990</v>
      </c>
      <c r="S16" s="38">
        <v>0</v>
      </c>
      <c r="T16" s="39">
        <f t="shared" si="3"/>
        <v>203652.87928046985</v>
      </c>
      <c r="U16" s="39">
        <v>0</v>
      </c>
      <c r="V16" s="39">
        <f>(R16+T16)*'All Cash'!$H$35</f>
        <v>48975.001549632892</v>
      </c>
      <c r="W16" s="36">
        <f>'All Cash'!$I$27*'All Cash'!$M16</f>
        <v>251798.93885526664</v>
      </c>
      <c r="X16" s="34">
        <f t="shared" si="4"/>
        <v>27735.893885526664</v>
      </c>
      <c r="Y16" s="80">
        <f t="shared" si="5"/>
        <v>0</v>
      </c>
      <c r="Z16" s="70">
        <f t="shared" si="0"/>
        <v>27735.893885526664</v>
      </c>
    </row>
    <row r="17" spans="1:26" ht="14.25" customHeight="1" x14ac:dyDescent="0.25">
      <c r="A17" s="10"/>
      <c r="B17" s="43"/>
      <c r="C17" s="43"/>
      <c r="D17" s="44"/>
      <c r="E17" s="45"/>
      <c r="F17" s="43"/>
      <c r="G17" s="43"/>
      <c r="H17" s="43"/>
      <c r="I17" s="43"/>
      <c r="M17" s="30">
        <v>11</v>
      </c>
      <c r="N17" s="34">
        <f t="shared" si="1"/>
        <v>454430.08619220951</v>
      </c>
      <c r="O17" s="35">
        <f t="shared" si="2"/>
        <v>8.2460380481593612E-2</v>
      </c>
      <c r="P17" s="36">
        <f>'All Cash'!$D$38</f>
        <v>500990.00000000012</v>
      </c>
      <c r="Q17" s="37">
        <f>'All Cash'!$H$31</f>
        <v>3.5000000000000003E-2</v>
      </c>
      <c r="R17" s="38">
        <f>'All Cash'!$D$24</f>
        <v>495990</v>
      </c>
      <c r="S17" s="38">
        <v>0</v>
      </c>
      <c r="T17" s="39">
        <f t="shared" si="3"/>
        <v>228140.38005528622</v>
      </c>
      <c r="U17" s="39">
        <v>0</v>
      </c>
      <c r="V17" s="39">
        <f>(R17+T17)*'All Cash'!$H$35</f>
        <v>50689.126603870041</v>
      </c>
      <c r="W17" s="36">
        <f>'All Cash'!$I$27*'All Cash'!$M17</f>
        <v>276978.8327407933</v>
      </c>
      <c r="X17" s="34">
        <f t="shared" si="4"/>
        <v>27735.893885526664</v>
      </c>
      <c r="Y17" s="80">
        <f t="shared" si="5"/>
        <v>0</v>
      </c>
      <c r="Z17" s="70">
        <f t="shared" si="0"/>
        <v>27735.893885526664</v>
      </c>
    </row>
    <row r="18" spans="1:26" ht="14.25" customHeight="1" x14ac:dyDescent="0.25">
      <c r="A18" s="10"/>
      <c r="B18" s="43"/>
      <c r="C18" s="43"/>
      <c r="D18" s="44"/>
      <c r="E18" s="45"/>
      <c r="F18" s="43"/>
      <c r="G18" s="43"/>
      <c r="H18" s="43"/>
      <c r="I18" s="43"/>
      <c r="M18" s="30">
        <v>12</v>
      </c>
      <c r="N18" s="34">
        <f t="shared" si="1"/>
        <v>503180.42394853564</v>
      </c>
      <c r="O18" s="35">
        <f t="shared" si="2"/>
        <v>8.3697682579914348E-2</v>
      </c>
      <c r="P18" s="36">
        <f>'All Cash'!$D$38</f>
        <v>500990.00000000012</v>
      </c>
      <c r="Q18" s="37">
        <f>'All Cash'!$H$31</f>
        <v>3.5000000000000003E-2</v>
      </c>
      <c r="R18" s="38">
        <f>'All Cash'!$D$24</f>
        <v>495990</v>
      </c>
      <c r="S18" s="38">
        <v>0</v>
      </c>
      <c r="T18" s="39">
        <f t="shared" si="3"/>
        <v>253484.9433572212</v>
      </c>
      <c r="U18" s="39">
        <v>0</v>
      </c>
      <c r="V18" s="39">
        <f>(R18+T18)*'All Cash'!$H$35</f>
        <v>52463.24603500549</v>
      </c>
      <c r="W18" s="36">
        <f>'All Cash'!$I$27*'All Cash'!$M18</f>
        <v>302158.72662631999</v>
      </c>
      <c r="X18" s="34">
        <f t="shared" si="4"/>
        <v>27735.893885526664</v>
      </c>
      <c r="Y18" s="80">
        <f t="shared" si="5"/>
        <v>0</v>
      </c>
      <c r="Z18" s="70">
        <f t="shared" si="0"/>
        <v>27735.893885526664</v>
      </c>
    </row>
    <row r="19" spans="1:26" ht="14.25" customHeight="1" x14ac:dyDescent="0.25">
      <c r="A19" s="10"/>
      <c r="B19" s="43"/>
      <c r="C19" s="43"/>
      <c r="D19" s="44"/>
      <c r="E19" s="45"/>
      <c r="F19" s="43"/>
      <c r="G19" s="43"/>
      <c r="H19" s="43"/>
      <c r="I19" s="43"/>
      <c r="M19" s="30">
        <v>13</v>
      </c>
      <c r="N19" s="34">
        <f t="shared" si="1"/>
        <v>552755.72724033974</v>
      </c>
      <c r="O19" s="35">
        <f t="shared" si="2"/>
        <v>8.487129748334292E-2</v>
      </c>
      <c r="P19" s="36">
        <f>'All Cash'!$D$38</f>
        <v>500990.00000000012</v>
      </c>
      <c r="Q19" s="37">
        <f>'All Cash'!$H$31</f>
        <v>3.5000000000000003E-2</v>
      </c>
      <c r="R19" s="38">
        <f>'All Cash'!$D$24</f>
        <v>495990</v>
      </c>
      <c r="S19" s="38">
        <v>0</v>
      </c>
      <c r="T19" s="39">
        <f t="shared" si="3"/>
        <v>279716.5663747238</v>
      </c>
      <c r="U19" s="39">
        <v>0</v>
      </c>
      <c r="V19" s="39">
        <f>(R19+T19)*'All Cash'!$H$35</f>
        <v>54299.459646230673</v>
      </c>
      <c r="W19" s="36">
        <f>'All Cash'!$I$27*'All Cash'!$M19</f>
        <v>327338.62051184662</v>
      </c>
      <c r="X19" s="34">
        <f t="shared" si="4"/>
        <v>27735.893885526664</v>
      </c>
      <c r="Y19" s="80">
        <f t="shared" si="5"/>
        <v>0</v>
      </c>
      <c r="Z19" s="70">
        <f t="shared" si="0"/>
        <v>27735.893885526664</v>
      </c>
    </row>
    <row r="20" spans="1:26" ht="14.25" customHeight="1" x14ac:dyDescent="0.25">
      <c r="A20" s="10"/>
      <c r="B20" s="43"/>
      <c r="C20" s="43"/>
      <c r="D20" s="44"/>
      <c r="E20" s="45"/>
      <c r="F20" s="43"/>
      <c r="G20" s="43"/>
      <c r="H20" s="43"/>
      <c r="I20" s="43"/>
      <c r="M20" s="30">
        <v>14</v>
      </c>
      <c r="N20" s="34">
        <f t="shared" si="1"/>
        <v>603184.86986136378</v>
      </c>
      <c r="O20" s="35">
        <f t="shared" si="2"/>
        <v>8.5998989124585271E-2</v>
      </c>
      <c r="P20" s="36">
        <f>'All Cash'!$D$38</f>
        <v>500990.00000000012</v>
      </c>
      <c r="Q20" s="37">
        <f>'All Cash'!$H$31</f>
        <v>3.5000000000000003E-2</v>
      </c>
      <c r="R20" s="38">
        <f>'All Cash'!$D$24</f>
        <v>495990</v>
      </c>
      <c r="S20" s="38">
        <v>0</v>
      </c>
      <c r="T20" s="39">
        <f t="shared" si="3"/>
        <v>306866.2961978392</v>
      </c>
      <c r="U20" s="39">
        <v>0</v>
      </c>
      <c r="V20" s="39">
        <f>(R20+T20)*'All Cash'!$H$35</f>
        <v>56199.940733848751</v>
      </c>
      <c r="W20" s="36">
        <f>'All Cash'!$I$27*'All Cash'!$M20</f>
        <v>352518.51439737331</v>
      </c>
      <c r="X20" s="34">
        <f t="shared" si="4"/>
        <v>27735.893885526664</v>
      </c>
      <c r="Y20" s="80">
        <f t="shared" si="5"/>
        <v>0</v>
      </c>
      <c r="Z20" s="70">
        <f t="shared" si="0"/>
        <v>27735.893885526664</v>
      </c>
    </row>
    <row r="21" spans="1:26" ht="14.25" customHeight="1" x14ac:dyDescent="0.25">
      <c r="A21" s="10"/>
      <c r="B21" s="43"/>
      <c r="C21" s="43"/>
      <c r="D21" s="44"/>
      <c r="E21" s="45"/>
      <c r="F21" s="43"/>
      <c r="G21" s="43"/>
      <c r="H21" s="43"/>
      <c r="I21" s="43"/>
      <c r="M21" s="40">
        <v>15</v>
      </c>
      <c r="N21" s="34">
        <f t="shared" si="1"/>
        <v>654497.73618812999</v>
      </c>
      <c r="O21" s="35">
        <f t="shared" si="2"/>
        <v>8.7093918865729827E-2</v>
      </c>
      <c r="P21" s="36">
        <f>'All Cash'!$D$38</f>
        <v>500990.00000000012</v>
      </c>
      <c r="Q21" s="37">
        <f>'All Cash'!$H$31</f>
        <v>3.5000000000000003E-2</v>
      </c>
      <c r="R21" s="38">
        <f>'All Cash'!$D$24</f>
        <v>495990</v>
      </c>
      <c r="S21" s="38">
        <v>0</v>
      </c>
      <c r="T21" s="41">
        <f t="shared" si="3"/>
        <v>334966.2665647635</v>
      </c>
      <c r="U21" s="39">
        <v>0</v>
      </c>
      <c r="V21" s="39">
        <f>(R21+T21)*'All Cash'!$H$35</f>
        <v>58166.938659533451</v>
      </c>
      <c r="W21" s="36">
        <f>'All Cash'!$I$27*'All Cash'!$M21</f>
        <v>377698.40828289994</v>
      </c>
      <c r="X21" s="34">
        <f t="shared" si="4"/>
        <v>27735.893885526664</v>
      </c>
      <c r="Y21" s="80">
        <f t="shared" si="5"/>
        <v>772789.32790522999</v>
      </c>
      <c r="Z21" s="70">
        <f t="shared" si="0"/>
        <v>800525.22179075668</v>
      </c>
    </row>
    <row r="22" spans="1:26" ht="14.25" customHeight="1" x14ac:dyDescent="0.25">
      <c r="A22" s="10"/>
      <c r="B22" s="43"/>
      <c r="C22" s="43"/>
      <c r="D22" s="44"/>
      <c r="E22" s="45"/>
      <c r="F22" s="43"/>
      <c r="G22" s="43"/>
      <c r="H22" s="43"/>
      <c r="I22" s="43"/>
      <c r="M22" s="30">
        <v>16</v>
      </c>
      <c r="N22" s="34">
        <f t="shared" si="1"/>
        <v>706725.25655033952</v>
      </c>
      <c r="O22" s="35">
        <f t="shared" si="2"/>
        <v>8.8166088214128441E-2</v>
      </c>
      <c r="P22" s="36">
        <f>'All Cash'!$D$38</f>
        <v>500990.00000000012</v>
      </c>
      <c r="Q22" s="37">
        <f>'All Cash'!$H$31</f>
        <v>3.5000000000000003E-2</v>
      </c>
      <c r="R22" s="38">
        <f>'All Cash'!$D$24</f>
        <v>495990</v>
      </c>
      <c r="S22" s="38">
        <v>0</v>
      </c>
      <c r="T22" s="39">
        <f t="shared" si="3"/>
        <v>364049.73589453008</v>
      </c>
      <c r="U22" s="39">
        <v>0</v>
      </c>
      <c r="V22" s="39">
        <f>(R22+T22)*'All Cash'!$H$35</f>
        <v>60202.781512617112</v>
      </c>
      <c r="W22" s="36">
        <f>'All Cash'!$I$27*'All Cash'!$M22</f>
        <v>402878.30216842663</v>
      </c>
      <c r="X22" s="34">
        <f t="shared" si="4"/>
        <v>27735.893885526664</v>
      </c>
      <c r="Y22" s="80">
        <f t="shared" si="5"/>
        <v>0</v>
      </c>
      <c r="Z22" s="70">
        <f t="shared" si="0"/>
        <v>0</v>
      </c>
    </row>
    <row r="23" spans="1:26" ht="18" x14ac:dyDescent="0.25">
      <c r="A23" s="10"/>
      <c r="B23" s="46" t="s">
        <v>0</v>
      </c>
      <c r="C23" s="46"/>
      <c r="D23" s="47"/>
      <c r="E23" s="48"/>
      <c r="F23" s="49"/>
      <c r="G23" s="46" t="s">
        <v>23</v>
      </c>
      <c r="H23" s="48" t="s">
        <v>11</v>
      </c>
      <c r="I23" s="48" t="s">
        <v>12</v>
      </c>
      <c r="M23" s="30">
        <v>17</v>
      </c>
      <c r="N23" s="34">
        <f t="shared" si="1"/>
        <v>759899.44383923314</v>
      </c>
      <c r="O23" s="35">
        <f t="shared" si="2"/>
        <v>8.9223272489791741E-2</v>
      </c>
      <c r="P23" s="36">
        <f>'All Cash'!$D$38</f>
        <v>500990.00000000012</v>
      </c>
      <c r="Q23" s="37">
        <f>'All Cash'!$H$31</f>
        <v>3.5000000000000003E-2</v>
      </c>
      <c r="R23" s="38">
        <f>'All Cash'!$D$24</f>
        <v>495990</v>
      </c>
      <c r="S23" s="38">
        <v>0</v>
      </c>
      <c r="T23" s="39">
        <f t="shared" si="3"/>
        <v>394151.12665083853</v>
      </c>
      <c r="U23" s="39">
        <v>0</v>
      </c>
      <c r="V23" s="39">
        <f>(R23+T23)*'All Cash'!$H$35</f>
        <v>62309.878865558705</v>
      </c>
      <c r="W23" s="36">
        <f>'All Cash'!$I$27*'All Cash'!$M23</f>
        <v>428058.19605395332</v>
      </c>
      <c r="X23" s="34">
        <f t="shared" si="4"/>
        <v>27735.893885526664</v>
      </c>
      <c r="Y23" s="80">
        <f t="shared" si="5"/>
        <v>0</v>
      </c>
      <c r="Z23" s="70">
        <f t="shared" si="0"/>
        <v>0</v>
      </c>
    </row>
    <row r="24" spans="1:26" x14ac:dyDescent="0.25">
      <c r="A24" s="10"/>
      <c r="B24" s="56" t="s">
        <v>84</v>
      </c>
      <c r="C24" s="56"/>
      <c r="D24" s="61">
        <f>D34</f>
        <v>495990</v>
      </c>
      <c r="E24" s="45"/>
      <c r="F24" s="43"/>
      <c r="G24" s="44" t="s">
        <v>24</v>
      </c>
      <c r="H24" s="50">
        <f>Summary!C11</f>
        <v>1775</v>
      </c>
      <c r="I24" s="53">
        <f>H24*12</f>
        <v>21300</v>
      </c>
      <c r="M24" s="30">
        <v>18</v>
      </c>
      <c r="N24" s="34">
        <f t="shared" si="1"/>
        <v>814053.43139724457</v>
      </c>
      <c r="O24" s="35">
        <f t="shared" si="2"/>
        <v>9.0271643412403929E-2</v>
      </c>
      <c r="P24" s="36">
        <f>'All Cash'!$D$38</f>
        <v>500990.00000000012</v>
      </c>
      <c r="Q24" s="37">
        <f>'All Cash'!$H$31</f>
        <v>3.5000000000000003E-2</v>
      </c>
      <c r="R24" s="38">
        <f>'All Cash'!$D$24</f>
        <v>495990</v>
      </c>
      <c r="S24" s="38">
        <v>0</v>
      </c>
      <c r="T24" s="39">
        <f t="shared" si="3"/>
        <v>425306.06608361786</v>
      </c>
      <c r="U24" s="39">
        <v>0</v>
      </c>
      <c r="V24" s="39">
        <f>(R24+T24)*'All Cash'!$H$35</f>
        <v>64490.724625853254</v>
      </c>
      <c r="W24" s="36">
        <f>'All Cash'!$I$27*'All Cash'!$M24</f>
        <v>453238.08993947995</v>
      </c>
      <c r="X24" s="34">
        <f t="shared" si="4"/>
        <v>27735.893885526664</v>
      </c>
      <c r="Y24" s="80">
        <f t="shared" si="5"/>
        <v>0</v>
      </c>
      <c r="Z24" s="70">
        <f t="shared" si="0"/>
        <v>0</v>
      </c>
    </row>
    <row r="25" spans="1:26" x14ac:dyDescent="0.25">
      <c r="A25" s="10"/>
      <c r="B25" s="56" t="s">
        <v>89</v>
      </c>
      <c r="C25" s="56"/>
      <c r="D25" s="61">
        <f>I25</f>
        <v>42600</v>
      </c>
      <c r="E25" s="45"/>
      <c r="F25" s="43"/>
      <c r="G25" s="44" t="s">
        <v>136</v>
      </c>
      <c r="H25" s="50">
        <f>H24*2</f>
        <v>3550</v>
      </c>
      <c r="I25" s="53">
        <f t="shared" ref="I25" si="6">H25*12</f>
        <v>42600</v>
      </c>
      <c r="M25" s="30">
        <v>19</v>
      </c>
      <c r="N25" s="34">
        <f t="shared" si="1"/>
        <v>869221.51223379292</v>
      </c>
      <c r="O25" s="35">
        <f t="shared" si="2"/>
        <v>9.1316195221229621E-2</v>
      </c>
      <c r="P25" s="36">
        <f>'All Cash'!$D$38</f>
        <v>500990.00000000012</v>
      </c>
      <c r="Q25" s="37">
        <f>'All Cash'!$H$31</f>
        <v>3.5000000000000003E-2</v>
      </c>
      <c r="R25" s="38">
        <f>'All Cash'!$D$24</f>
        <v>495990</v>
      </c>
      <c r="S25" s="38">
        <v>0</v>
      </c>
      <c r="T25" s="39">
        <f t="shared" si="3"/>
        <v>457551.42839654442</v>
      </c>
      <c r="U25" s="39">
        <v>0</v>
      </c>
      <c r="V25" s="39">
        <f>(R25+T25)*'All Cash'!$H$35</f>
        <v>66747.899987758123</v>
      </c>
      <c r="W25" s="36">
        <f>'All Cash'!$I$27*'All Cash'!$M25</f>
        <v>478417.98382500664</v>
      </c>
      <c r="X25" s="34">
        <f t="shared" si="4"/>
        <v>27735.893885526664</v>
      </c>
      <c r="Y25" s="80">
        <f t="shared" si="5"/>
        <v>0</v>
      </c>
      <c r="Z25" s="70">
        <f t="shared" si="0"/>
        <v>0</v>
      </c>
    </row>
    <row r="26" spans="1:26" x14ac:dyDescent="0.25">
      <c r="A26" s="10"/>
      <c r="B26" s="56" t="s">
        <v>2</v>
      </c>
      <c r="C26" s="56"/>
      <c r="D26" s="61">
        <f>D38</f>
        <v>500990.00000000012</v>
      </c>
      <c r="E26" s="45"/>
      <c r="F26" s="43"/>
      <c r="G26" s="44" t="s">
        <v>117</v>
      </c>
      <c r="H26" s="50">
        <f>D47</f>
        <v>1451.6755095394444</v>
      </c>
      <c r="I26" s="50">
        <f>E47</f>
        <v>17420.106114473332</v>
      </c>
      <c r="M26" s="30">
        <v>20</v>
      </c>
      <c r="N26" s="34">
        <f t="shared" si="1"/>
        <v>925439.17961362691</v>
      </c>
      <c r="O26" s="35">
        <f t="shared" si="2"/>
        <v>9.2361043096032519E-2</v>
      </c>
      <c r="P26" s="36">
        <f>'All Cash'!$D$38</f>
        <v>500990.00000000012</v>
      </c>
      <c r="Q26" s="37">
        <f>'All Cash'!$H$31</f>
        <v>3.5000000000000003E-2</v>
      </c>
      <c r="R26" s="38">
        <f>'All Cash'!$D$24</f>
        <v>495990</v>
      </c>
      <c r="S26" s="38">
        <v>0</v>
      </c>
      <c r="T26" s="39">
        <f t="shared" si="3"/>
        <v>490925.37839042337</v>
      </c>
      <c r="U26" s="39">
        <v>0</v>
      </c>
      <c r="V26" s="39">
        <f>(R26+T26)*'All Cash'!$H$35</f>
        <v>69084.076487329643</v>
      </c>
      <c r="W26" s="36">
        <f>'All Cash'!$I$27*'All Cash'!$M26</f>
        <v>503597.87771053327</v>
      </c>
      <c r="X26" s="34">
        <f t="shared" si="4"/>
        <v>27735.893885526664</v>
      </c>
      <c r="Y26" s="80">
        <f t="shared" si="5"/>
        <v>0</v>
      </c>
      <c r="Z26" s="70">
        <f t="shared" si="0"/>
        <v>0</v>
      </c>
    </row>
    <row r="27" spans="1:26" x14ac:dyDescent="0.25">
      <c r="A27" s="10"/>
      <c r="B27" s="56" t="s">
        <v>125</v>
      </c>
      <c r="C27" s="56"/>
      <c r="D27" s="61">
        <f>H27</f>
        <v>2098.3244904605554</v>
      </c>
      <c r="E27" s="45"/>
      <c r="F27" s="43"/>
      <c r="G27" s="56" t="s">
        <v>119</v>
      </c>
      <c r="H27" s="58">
        <f>H25-H26</f>
        <v>2098.3244904605554</v>
      </c>
      <c r="I27" s="59">
        <f>H27*12</f>
        <v>25179.893885526664</v>
      </c>
      <c r="M27" s="30">
        <v>21</v>
      </c>
      <c r="N27" s="34">
        <f t="shared" si="1"/>
        <v>982743.16906576161</v>
      </c>
      <c r="O27" s="35">
        <f t="shared" si="2"/>
        <v>9.3409636449901703E-2</v>
      </c>
      <c r="P27" s="36">
        <f>'All Cash'!$D$38</f>
        <v>500990.00000000012</v>
      </c>
      <c r="Q27" s="37">
        <f>'All Cash'!$H$31</f>
        <v>3.5000000000000003E-2</v>
      </c>
      <c r="R27" s="38">
        <f>'All Cash'!$D$24</f>
        <v>495990</v>
      </c>
      <c r="S27" s="38">
        <v>0</v>
      </c>
      <c r="T27" s="39">
        <f t="shared" si="3"/>
        <v>525467.41663408792</v>
      </c>
      <c r="U27" s="39">
        <v>0</v>
      </c>
      <c r="V27" s="39">
        <f>(R27+T27)*'All Cash'!$H$35</f>
        <v>71502.019164386162</v>
      </c>
      <c r="W27" s="36">
        <f>'All Cash'!$I$27*'All Cash'!$M27</f>
        <v>528777.7715960599</v>
      </c>
      <c r="X27" s="34">
        <f t="shared" si="4"/>
        <v>27735.893885526664</v>
      </c>
      <c r="Y27" s="80">
        <f t="shared" si="5"/>
        <v>0</v>
      </c>
      <c r="Z27" s="70">
        <f t="shared" si="0"/>
        <v>0</v>
      </c>
    </row>
    <row r="28" spans="1:26" x14ac:dyDescent="0.25">
      <c r="A28" s="10"/>
      <c r="B28" s="56" t="s">
        <v>126</v>
      </c>
      <c r="C28" s="56"/>
      <c r="D28" s="61">
        <f>H28</f>
        <v>2311.3244904605554</v>
      </c>
      <c r="E28" s="45"/>
      <c r="F28" s="43"/>
      <c r="G28" s="56" t="s">
        <v>118</v>
      </c>
      <c r="H28" s="58">
        <f>H25-H26+D45+D46</f>
        <v>2311.3244904605554</v>
      </c>
      <c r="I28" s="59">
        <f>H28*12</f>
        <v>27735.893885526664</v>
      </c>
      <c r="M28" s="30">
        <v>22</v>
      </c>
      <c r="N28" s="34">
        <f t="shared" si="1"/>
        <v>1041171.5018627278</v>
      </c>
      <c r="O28" s="35">
        <f t="shared" si="2"/>
        <v>9.4464914184707691E-2</v>
      </c>
      <c r="P28" s="36">
        <f>'All Cash'!$D$38</f>
        <v>500990.00000000012</v>
      </c>
      <c r="Q28" s="37">
        <f>'All Cash'!$H$31</f>
        <v>3.5000000000000003E-2</v>
      </c>
      <c r="R28" s="38">
        <f>'All Cash'!$D$24</f>
        <v>495990</v>
      </c>
      <c r="S28" s="38">
        <v>0</v>
      </c>
      <c r="T28" s="39">
        <f t="shared" si="3"/>
        <v>561218.42621628102</v>
      </c>
      <c r="U28" s="39">
        <v>0</v>
      </c>
      <c r="V28" s="39">
        <f>(R28+T28)*'All Cash'!$H$35</f>
        <v>74004.589835139675</v>
      </c>
      <c r="W28" s="36">
        <f>'All Cash'!$I$27*'All Cash'!$M28</f>
        <v>553957.66548158659</v>
      </c>
      <c r="X28" s="34">
        <f t="shared" si="4"/>
        <v>27735.893885526664</v>
      </c>
      <c r="Y28" s="80">
        <f t="shared" si="5"/>
        <v>0</v>
      </c>
      <c r="Z28" s="70">
        <f t="shared" si="0"/>
        <v>0</v>
      </c>
    </row>
    <row r="29" spans="1:26" x14ac:dyDescent="0.25">
      <c r="A29" s="10"/>
      <c r="B29" s="56" t="s">
        <v>3</v>
      </c>
      <c r="C29" s="56"/>
      <c r="D29" s="61">
        <f>H38</f>
        <v>654497.73618812999</v>
      </c>
      <c r="E29" s="45"/>
      <c r="F29" s="43"/>
      <c r="G29" s="10"/>
      <c r="H29" s="10"/>
      <c r="I29" s="10"/>
      <c r="M29" s="30">
        <v>23</v>
      </c>
      <c r="N29" s="34">
        <f t="shared" si="1"/>
        <v>1100763.5300215946</v>
      </c>
      <c r="O29" s="35">
        <f t="shared" si="2"/>
        <v>9.552941957720186E-2</v>
      </c>
      <c r="P29" s="36">
        <f>'All Cash'!$D$38</f>
        <v>500990.00000000012</v>
      </c>
      <c r="Q29" s="37">
        <f>'All Cash'!$H$31</f>
        <v>3.5000000000000003E-2</v>
      </c>
      <c r="R29" s="38">
        <f>'All Cash'!$D$24</f>
        <v>495990</v>
      </c>
      <c r="S29" s="38">
        <v>0</v>
      </c>
      <c r="T29" s="39">
        <f t="shared" si="3"/>
        <v>598220.72113385098</v>
      </c>
      <c r="U29" s="39">
        <v>0</v>
      </c>
      <c r="V29" s="39">
        <f>(R29+T29)*'All Cash'!$H$35</f>
        <v>76594.75047936957</v>
      </c>
      <c r="W29" s="36">
        <f>'All Cash'!$I$27*'All Cash'!$M29</f>
        <v>579137.55936711328</v>
      </c>
      <c r="X29" s="34">
        <f t="shared" si="4"/>
        <v>27735.893885526664</v>
      </c>
      <c r="Y29" s="80">
        <f t="shared" si="5"/>
        <v>0</v>
      </c>
      <c r="Z29" s="70">
        <f t="shared" si="0"/>
        <v>0</v>
      </c>
    </row>
    <row r="30" spans="1:26" ht="18" x14ac:dyDescent="0.25">
      <c r="A30" s="10"/>
      <c r="B30" s="56" t="s">
        <v>4</v>
      </c>
      <c r="C30" s="56"/>
      <c r="D30" s="57">
        <f>H42</f>
        <v>8.7093918865729827E-2</v>
      </c>
      <c r="E30" s="45"/>
      <c r="F30" s="43"/>
      <c r="G30" s="46" t="s">
        <v>25</v>
      </c>
      <c r="H30" s="48"/>
      <c r="I30" s="48"/>
      <c r="M30" s="30">
        <v>24</v>
      </c>
      <c r="N30" s="34">
        <f t="shared" si="1"/>
        <v>1161559.9828800277</v>
      </c>
      <c r="O30" s="35">
        <f t="shared" si="2"/>
        <v>9.6605386574584617E-2</v>
      </c>
      <c r="P30" s="36">
        <f>'All Cash'!$D$38</f>
        <v>500990.00000000012</v>
      </c>
      <c r="Q30" s="37">
        <f>'All Cash'!$H$31</f>
        <v>3.5000000000000003E-2</v>
      </c>
      <c r="R30" s="38">
        <f>'All Cash'!$D$24</f>
        <v>495990</v>
      </c>
      <c r="S30" s="38">
        <v>0</v>
      </c>
      <c r="T30" s="39">
        <f t="shared" si="3"/>
        <v>636518.09637353546</v>
      </c>
      <c r="U30" s="39">
        <v>0</v>
      </c>
      <c r="V30" s="39">
        <f>(R30+T30)*'All Cash'!$H$35</f>
        <v>79275.566746147495</v>
      </c>
      <c r="W30" s="36">
        <f>'All Cash'!$I$27*'All Cash'!$M30</f>
        <v>604317.45325263997</v>
      </c>
      <c r="X30" s="34">
        <f t="shared" si="4"/>
        <v>27735.893885526664</v>
      </c>
      <c r="Y30" s="80">
        <f t="shared" si="5"/>
        <v>0</v>
      </c>
      <c r="Z30" s="70">
        <f t="shared" si="0"/>
        <v>0</v>
      </c>
    </row>
    <row r="31" spans="1:26" x14ac:dyDescent="0.25">
      <c r="A31" s="10"/>
      <c r="B31" s="56" t="s">
        <v>124</v>
      </c>
      <c r="D31" s="57">
        <f>H43</f>
        <v>7.5977261146696229E-2</v>
      </c>
      <c r="F31" s="43"/>
      <c r="G31" s="44" t="s">
        <v>26</v>
      </c>
      <c r="H31" s="62">
        <f>Summary!C12</f>
        <v>3.5000000000000003E-2</v>
      </c>
      <c r="I31" s="45"/>
      <c r="M31" s="30">
        <v>25</v>
      </c>
      <c r="N31" s="34">
        <f t="shared" si="1"/>
        <v>1223603.0153025133</v>
      </c>
      <c r="O31" s="35">
        <f t="shared" si="2"/>
        <v>9.7694805509292645E-2</v>
      </c>
      <c r="P31" s="36">
        <f>'All Cash'!$D$38</f>
        <v>500990.00000000012</v>
      </c>
      <c r="Q31" s="37">
        <f>'All Cash'!$H$31</f>
        <v>3.5000000000000003E-2</v>
      </c>
      <c r="R31" s="38">
        <f>'All Cash'!$D$24</f>
        <v>495990</v>
      </c>
      <c r="S31" s="38">
        <v>0</v>
      </c>
      <c r="T31" s="39">
        <f t="shared" si="3"/>
        <v>676155.87974660913</v>
      </c>
      <c r="U31" s="39">
        <v>0</v>
      </c>
      <c r="V31" s="39">
        <f>(R31+T31)*'All Cash'!$H$35</f>
        <v>82050.211582262651</v>
      </c>
      <c r="W31" s="36">
        <f>'All Cash'!$I$27*'All Cash'!$M31</f>
        <v>629497.34713816666</v>
      </c>
      <c r="X31" s="34">
        <f t="shared" si="4"/>
        <v>27735.893885526664</v>
      </c>
      <c r="Y31" s="80">
        <f t="shared" si="5"/>
        <v>0</v>
      </c>
      <c r="Z31" s="70">
        <f t="shared" si="0"/>
        <v>0</v>
      </c>
    </row>
    <row r="32" spans="1:26" x14ac:dyDescent="0.25">
      <c r="A32" s="10"/>
      <c r="B32" s="56" t="s">
        <v>5</v>
      </c>
      <c r="C32" s="56"/>
      <c r="D32" s="57">
        <f>H44</f>
        <v>5.0766938618775917E-2</v>
      </c>
      <c r="E32" s="45"/>
      <c r="F32" s="43"/>
      <c r="G32" s="44" t="s">
        <v>27</v>
      </c>
      <c r="H32" s="79">
        <f>Summary!C13</f>
        <v>15</v>
      </c>
      <c r="I32" s="45"/>
      <c r="M32" s="30">
        <v>26</v>
      </c>
      <c r="N32" s="34">
        <f t="shared" si="1"/>
        <v>1286936.2575737918</v>
      </c>
      <c r="O32" s="35">
        <f t="shared" si="2"/>
        <v>9.879947377836433E-2</v>
      </c>
      <c r="P32" s="36">
        <f>'All Cash'!$D$38</f>
        <v>500990.00000000012</v>
      </c>
      <c r="Q32" s="37">
        <f>'All Cash'!$H$31</f>
        <v>3.5000000000000003E-2</v>
      </c>
      <c r="R32" s="38">
        <f>'All Cash'!$D$24</f>
        <v>495990</v>
      </c>
      <c r="S32" s="38">
        <v>0</v>
      </c>
      <c r="T32" s="39">
        <f t="shared" si="3"/>
        <v>717180.9855377404</v>
      </c>
      <c r="U32" s="39">
        <v>0</v>
      </c>
      <c r="V32" s="39">
        <f>(R32+T32)*'All Cash'!$H$35</f>
        <v>84921.968987641842</v>
      </c>
      <c r="W32" s="36">
        <f>'All Cash'!$I$27*'All Cash'!$M32</f>
        <v>654677.24102369323</v>
      </c>
      <c r="X32" s="34">
        <f t="shared" si="4"/>
        <v>27735.893885526664</v>
      </c>
      <c r="Y32" s="80">
        <f t="shared" si="5"/>
        <v>0</v>
      </c>
      <c r="Z32" s="70">
        <f t="shared" si="0"/>
        <v>0</v>
      </c>
    </row>
    <row r="33" spans="1:26" ht="18" x14ac:dyDescent="0.25">
      <c r="A33" s="10"/>
      <c r="B33" s="46" t="s">
        <v>6</v>
      </c>
      <c r="C33" s="46"/>
      <c r="D33" s="47"/>
      <c r="E33" s="48"/>
      <c r="F33" s="43"/>
      <c r="G33" s="56" t="str">
        <f>CONCATENATE("Appreciation After ",H32," Years")</f>
        <v>Appreciation After 15 Years</v>
      </c>
      <c r="H33" s="58">
        <f>$D$34*(1+H31)^H32-$D$34</f>
        <v>334966.2665647635</v>
      </c>
      <c r="I33" s="10"/>
      <c r="M33" s="30">
        <v>27</v>
      </c>
      <c r="N33" s="34">
        <f t="shared" si="1"/>
        <v>1351604.867038572</v>
      </c>
      <c r="O33" s="35">
        <f t="shared" si="2"/>
        <v>9.9921035389822346E-2</v>
      </c>
      <c r="P33" s="36">
        <f>'All Cash'!$D$38</f>
        <v>500990.00000000012</v>
      </c>
      <c r="Q33" s="37">
        <f>'All Cash'!$H$31</f>
        <v>3.5000000000000003E-2</v>
      </c>
      <c r="R33" s="38">
        <f>'All Cash'!$D$24</f>
        <v>495990</v>
      </c>
      <c r="S33" s="38">
        <v>0</v>
      </c>
      <c r="T33" s="39">
        <f t="shared" si="3"/>
        <v>759641.97003156133</v>
      </c>
      <c r="U33" s="39">
        <v>0</v>
      </c>
      <c r="V33" s="39">
        <f>(R33+T33)*'All Cash'!$H$35</f>
        <v>87894.237902209308</v>
      </c>
      <c r="W33" s="36">
        <f>'All Cash'!$I$27*'All Cash'!$M33</f>
        <v>679857.13490921992</v>
      </c>
      <c r="X33" s="34">
        <f t="shared" si="4"/>
        <v>27735.893885526664</v>
      </c>
      <c r="Y33" s="80">
        <f t="shared" si="5"/>
        <v>0</v>
      </c>
      <c r="Z33" s="70">
        <f t="shared" si="0"/>
        <v>0</v>
      </c>
    </row>
    <row r="34" spans="1:26" x14ac:dyDescent="0.25">
      <c r="A34" s="10"/>
      <c r="B34" s="44" t="s">
        <v>84</v>
      </c>
      <c r="C34" s="44"/>
      <c r="D34" s="50">
        <f>Summary!C8</f>
        <v>495990</v>
      </c>
      <c r="E34" s="45"/>
      <c r="F34" s="43"/>
      <c r="G34" s="10"/>
      <c r="H34" s="10"/>
      <c r="I34" s="10"/>
      <c r="M34" s="30">
        <v>28</v>
      </c>
      <c r="N34" s="34">
        <f t="shared" si="1"/>
        <v>1417655.5815486258</v>
      </c>
      <c r="O34" s="35">
        <f t="shared" si="2"/>
        <v>0.10106101216367488</v>
      </c>
      <c r="P34" s="36">
        <f>'All Cash'!$D$38</f>
        <v>500990.00000000012</v>
      </c>
      <c r="Q34" s="37">
        <f>'All Cash'!$H$31</f>
        <v>3.5000000000000003E-2</v>
      </c>
      <c r="R34" s="38">
        <f>'All Cash'!$D$24</f>
        <v>495990</v>
      </c>
      <c r="S34" s="38">
        <v>0</v>
      </c>
      <c r="T34" s="39">
        <f t="shared" si="3"/>
        <v>803589.08898266591</v>
      </c>
      <c r="U34" s="39">
        <v>0</v>
      </c>
      <c r="V34" s="39">
        <f>(R34+T34)*'All Cash'!$H$35</f>
        <v>90970.536228786616</v>
      </c>
      <c r="W34" s="36">
        <f>'All Cash'!$I$27*'All Cash'!$M34</f>
        <v>705037.02879474661</v>
      </c>
      <c r="X34" s="34">
        <f t="shared" si="4"/>
        <v>27735.893885526664</v>
      </c>
      <c r="Y34" s="80">
        <f t="shared" si="5"/>
        <v>0</v>
      </c>
      <c r="Z34" s="70">
        <f t="shared" si="0"/>
        <v>0</v>
      </c>
    </row>
    <row r="35" spans="1:26" x14ac:dyDescent="0.25">
      <c r="A35" s="10"/>
      <c r="B35" s="44" t="s">
        <v>8</v>
      </c>
      <c r="C35" s="81">
        <v>1.0000000000000002</v>
      </c>
      <c r="D35" s="52">
        <f>C35*D34</f>
        <v>495990.00000000012</v>
      </c>
      <c r="E35" s="45"/>
      <c r="F35" s="43"/>
      <c r="G35" s="44" t="s">
        <v>31</v>
      </c>
      <c r="H35" s="51">
        <v>7.0000000000000007E-2</v>
      </c>
      <c r="I35" s="45" t="s">
        <v>74</v>
      </c>
      <c r="M35" s="30">
        <v>29</v>
      </c>
      <c r="N35" s="34">
        <f t="shared" si="1"/>
        <v>1485136.7747805382</v>
      </c>
      <c r="O35" s="35">
        <f t="shared" si="2"/>
        <v>0.10222082860629318</v>
      </c>
      <c r="P35" s="36">
        <f>'All Cash'!$D$38</f>
        <v>500990.00000000012</v>
      </c>
      <c r="Q35" s="37">
        <f>'All Cash'!$H$31</f>
        <v>3.5000000000000003E-2</v>
      </c>
      <c r="R35" s="38">
        <f>'All Cash'!$D$24</f>
        <v>495990</v>
      </c>
      <c r="S35" s="38">
        <v>0</v>
      </c>
      <c r="T35" s="39">
        <f t="shared" si="3"/>
        <v>849074.35709705902</v>
      </c>
      <c r="U35" s="39">
        <v>0</v>
      </c>
      <c r="V35" s="39">
        <f>(R35+T35)*'All Cash'!$H$35</f>
        <v>94154.504996794145</v>
      </c>
      <c r="W35" s="36">
        <f>'All Cash'!$I$27*'All Cash'!$M35</f>
        <v>730216.9226802733</v>
      </c>
      <c r="X35" s="34">
        <f t="shared" si="4"/>
        <v>27735.893885526664</v>
      </c>
      <c r="Y35" s="80">
        <f t="shared" si="5"/>
        <v>0</v>
      </c>
      <c r="Z35" s="70">
        <f t="shared" si="0"/>
        <v>0</v>
      </c>
    </row>
    <row r="36" spans="1:26" x14ac:dyDescent="0.25">
      <c r="A36" s="10"/>
      <c r="B36" s="44" t="s">
        <v>85</v>
      </c>
      <c r="C36" s="44"/>
      <c r="D36" s="52">
        <v>5000</v>
      </c>
      <c r="E36" s="45"/>
      <c r="F36" s="43"/>
      <c r="G36" s="44" t="s">
        <v>32</v>
      </c>
      <c r="H36" s="52">
        <f>(D34+H33)*$H$35</f>
        <v>58166.938659533451</v>
      </c>
      <c r="I36" s="45"/>
      <c r="M36" s="30">
        <v>30</v>
      </c>
      <c r="N36" s="34">
        <f t="shared" si="1"/>
        <v>1554098.5134895742</v>
      </c>
      <c r="O36" s="35">
        <f t="shared" si="2"/>
        <v>0.1034018319387329</v>
      </c>
      <c r="P36" s="36">
        <f>'All Cash'!$D$38</f>
        <v>500990.00000000012</v>
      </c>
      <c r="Q36" s="37">
        <f>'All Cash'!$H$31</f>
        <v>3.5000000000000003E-2</v>
      </c>
      <c r="R36" s="38">
        <f>'All Cash'!$D$24</f>
        <v>495990</v>
      </c>
      <c r="S36" s="38">
        <v>0</v>
      </c>
      <c r="T36" s="39">
        <f t="shared" si="3"/>
        <v>896151.60959545616</v>
      </c>
      <c r="U36" s="39">
        <v>0</v>
      </c>
      <c r="V36" s="39">
        <f>(R36+T36)*'All Cash'!$H$35</f>
        <v>97449.912671681945</v>
      </c>
      <c r="W36" s="36">
        <f>'All Cash'!$I$27*'All Cash'!$M36</f>
        <v>755396.81656579988</v>
      </c>
      <c r="X36" s="34">
        <f t="shared" si="4"/>
        <v>27735.893885526664</v>
      </c>
      <c r="Y36" s="80">
        <f t="shared" si="5"/>
        <v>0</v>
      </c>
      <c r="Z36" s="70">
        <f t="shared" si="0"/>
        <v>0</v>
      </c>
    </row>
    <row r="37" spans="1:26" x14ac:dyDescent="0.25">
      <c r="A37" s="10"/>
      <c r="B37" s="44" t="s">
        <v>9</v>
      </c>
      <c r="C37" s="44"/>
      <c r="D37" s="50">
        <v>0</v>
      </c>
      <c r="E37" s="60"/>
      <c r="F37" s="43"/>
      <c r="G37" s="56" t="s">
        <v>28</v>
      </c>
      <c r="H37" s="64">
        <f>H32*I27</f>
        <v>377698.40828289994</v>
      </c>
      <c r="I37" s="45"/>
      <c r="J37" s="3"/>
      <c r="N37" s="34"/>
      <c r="Z37" s="70"/>
    </row>
    <row r="38" spans="1:26" x14ac:dyDescent="0.25">
      <c r="A38" s="10"/>
      <c r="B38" s="56" t="s">
        <v>2</v>
      </c>
      <c r="C38" s="56"/>
      <c r="D38" s="61">
        <f>SUM(D35:D37)</f>
        <v>500990.00000000012</v>
      </c>
      <c r="E38" s="45"/>
      <c r="F38" s="43"/>
      <c r="G38" s="56" t="s">
        <v>3</v>
      </c>
      <c r="H38" s="58">
        <f>H37+H33-H36</f>
        <v>654497.73618812999</v>
      </c>
      <c r="I38" s="45"/>
      <c r="J38" s="3"/>
      <c r="Z38" s="70"/>
    </row>
    <row r="39" spans="1:26" ht="18" x14ac:dyDescent="0.25">
      <c r="A39" s="10"/>
      <c r="B39" s="46" t="s">
        <v>116</v>
      </c>
      <c r="C39" s="46"/>
      <c r="D39" s="48" t="s">
        <v>11</v>
      </c>
      <c r="E39" s="48" t="s">
        <v>12</v>
      </c>
      <c r="F39" s="43"/>
      <c r="G39" s="10"/>
      <c r="H39" s="10"/>
      <c r="I39" s="45"/>
      <c r="Z39" s="70"/>
    </row>
    <row r="40" spans="1:26" x14ac:dyDescent="0.25">
      <c r="A40" s="10"/>
      <c r="B40" s="44" t="s">
        <v>17</v>
      </c>
      <c r="C40" s="82">
        <v>2.0030539999999999E-2</v>
      </c>
      <c r="D40" s="52">
        <f>C40*0.9*D34/12</f>
        <v>745.12106509500006</v>
      </c>
      <c r="E40" s="53">
        <f t="shared" ref="E40:E46" si="7">D40*12</f>
        <v>8941.4527811400003</v>
      </c>
      <c r="F40" s="43"/>
      <c r="G40" s="56" t="s">
        <v>120</v>
      </c>
      <c r="H40" s="65">
        <f>((H37/D38)/H32)</f>
        <v>5.0260272431638671E-2</v>
      </c>
      <c r="I40" s="45"/>
      <c r="Z40" s="70"/>
    </row>
    <row r="41" spans="1:26" x14ac:dyDescent="0.25">
      <c r="A41" s="10"/>
      <c r="B41" s="44" t="s">
        <v>86</v>
      </c>
      <c r="C41" s="44"/>
      <c r="D41" s="50">
        <v>105</v>
      </c>
      <c r="E41" s="53">
        <f t="shared" si="7"/>
        <v>1260</v>
      </c>
      <c r="F41" s="43"/>
      <c r="G41" s="56" t="s">
        <v>121</v>
      </c>
      <c r="H41" s="65">
        <f>((I28*H32)/D38)/H32</f>
        <v>5.5362170673120534E-2</v>
      </c>
      <c r="I41" s="45"/>
      <c r="Z41" s="70"/>
    </row>
    <row r="42" spans="1:26" x14ac:dyDescent="0.25">
      <c r="A42" s="10"/>
      <c r="B42" s="44" t="s">
        <v>127</v>
      </c>
      <c r="C42" s="44"/>
      <c r="D42" s="50">
        <f>1000/12</f>
        <v>83.333333333333329</v>
      </c>
      <c r="E42" s="53">
        <f t="shared" si="7"/>
        <v>1000</v>
      </c>
      <c r="F42" s="43"/>
      <c r="G42" s="56" t="s">
        <v>4</v>
      </c>
      <c r="H42" s="65">
        <f>H38/D38/H32</f>
        <v>8.7093918865729827E-2</v>
      </c>
      <c r="I42" s="45"/>
      <c r="Z42" s="70"/>
    </row>
    <row r="43" spans="1:26" x14ac:dyDescent="0.25">
      <c r="A43" s="10"/>
      <c r="B43" s="44" t="s">
        <v>18</v>
      </c>
      <c r="C43" s="84">
        <v>0.06</v>
      </c>
      <c r="D43" s="52">
        <f>(H25-D45)*C43</f>
        <v>206.60999999999999</v>
      </c>
      <c r="E43" s="53">
        <f t="shared" si="7"/>
        <v>2479.3199999999997</v>
      </c>
      <c r="F43" s="43"/>
      <c r="G43" s="56" t="s">
        <v>124</v>
      </c>
      <c r="H43" s="65">
        <f>IRR(Z6:Z36)</f>
        <v>7.5977261146696229E-2</v>
      </c>
      <c r="I43" s="45"/>
    </row>
    <row r="44" spans="1:26" x14ac:dyDescent="0.25">
      <c r="A44" s="10"/>
      <c r="B44" s="44" t="s">
        <v>22</v>
      </c>
      <c r="C44" s="81">
        <v>0.5</v>
      </c>
      <c r="D44" s="52">
        <f>(C44*H25)/18</f>
        <v>98.611111111111114</v>
      </c>
      <c r="E44" s="53">
        <f t="shared" si="7"/>
        <v>1183.3333333333335</v>
      </c>
      <c r="F44" s="43"/>
      <c r="G44" s="56" t="s">
        <v>5</v>
      </c>
      <c r="H44" s="65">
        <f>(I25-E47)/D34</f>
        <v>5.0766938618775917E-2</v>
      </c>
      <c r="I44" s="45"/>
    </row>
    <row r="45" spans="1:26" x14ac:dyDescent="0.25">
      <c r="A45" s="10"/>
      <c r="B45" s="44" t="s">
        <v>20</v>
      </c>
      <c r="C45" s="81">
        <v>0.03</v>
      </c>
      <c r="D45" s="52">
        <f>C45*H25</f>
        <v>106.5</v>
      </c>
      <c r="E45" s="53">
        <f t="shared" si="7"/>
        <v>1278</v>
      </c>
      <c r="F45" s="43"/>
      <c r="G45" s="10"/>
      <c r="H45" s="10"/>
      <c r="I45" s="10"/>
    </row>
    <row r="46" spans="1:26" ht="18" x14ac:dyDescent="0.25">
      <c r="A46" s="10"/>
      <c r="B46" s="44" t="s">
        <v>83</v>
      </c>
      <c r="C46" s="81">
        <v>0.03</v>
      </c>
      <c r="D46" s="52">
        <f>C46*H25</f>
        <v>106.5</v>
      </c>
      <c r="E46" s="53">
        <f t="shared" si="7"/>
        <v>1278</v>
      </c>
      <c r="F46" s="43"/>
      <c r="G46" s="46" t="s">
        <v>33</v>
      </c>
      <c r="H46" s="48"/>
      <c r="I46" s="48"/>
    </row>
    <row r="47" spans="1:26" x14ac:dyDescent="0.25">
      <c r="A47" s="10"/>
      <c r="B47" s="56" t="s">
        <v>117</v>
      </c>
      <c r="C47" s="56"/>
      <c r="D47" s="58">
        <f>SUM(D40:D46)</f>
        <v>1451.6755095394444</v>
      </c>
      <c r="E47" s="58">
        <f>SUM(E40:E46)</f>
        <v>17420.106114473332</v>
      </c>
      <c r="F47" s="43"/>
      <c r="G47" s="56" t="s">
        <v>87</v>
      </c>
      <c r="H47" s="66"/>
      <c r="I47" s="58">
        <f>(D34-68000)/27.5</f>
        <v>15563.272727272728</v>
      </c>
    </row>
    <row r="48" spans="1:26" x14ac:dyDescent="0.25">
      <c r="A48" s="10"/>
      <c r="B48" s="10"/>
      <c r="C48" s="10"/>
      <c r="D48" s="17"/>
      <c r="E48" s="16"/>
      <c r="F48" s="43"/>
      <c r="G48" s="10"/>
      <c r="H48" s="10"/>
      <c r="I48" s="10"/>
    </row>
    <row r="49" spans="1:25" x14ac:dyDescent="0.25">
      <c r="A49" s="10"/>
      <c r="B49" s="44"/>
      <c r="C49" s="10"/>
      <c r="D49" s="55"/>
      <c r="E49" s="54"/>
      <c r="F49" s="43"/>
      <c r="G49" s="10"/>
      <c r="H49" s="10"/>
      <c r="I49" s="10"/>
    </row>
    <row r="50" spans="1:25" x14ac:dyDescent="0.25">
      <c r="A50" s="10"/>
      <c r="B50" s="18" t="s">
        <v>69</v>
      </c>
      <c r="C50" s="18"/>
      <c r="D50" s="17"/>
      <c r="E50" s="16"/>
      <c r="F50" s="10"/>
      <c r="G50" s="10"/>
      <c r="H50" s="10"/>
      <c r="I50" s="10"/>
    </row>
    <row r="51" spans="1:25" ht="67.5" customHeight="1" x14ac:dyDescent="0.25">
      <c r="A51" s="10"/>
      <c r="B51" s="109" t="s">
        <v>70</v>
      </c>
      <c r="C51" s="109"/>
      <c r="D51" s="109"/>
      <c r="E51" s="109"/>
      <c r="F51" s="109"/>
      <c r="G51" s="109"/>
      <c r="H51" s="109"/>
      <c r="I51" s="109"/>
    </row>
    <row r="52" spans="1:25" ht="18" x14ac:dyDescent="0.25">
      <c r="A52" s="10"/>
      <c r="B52" s="108" t="s">
        <v>71</v>
      </c>
      <c r="C52" s="108"/>
      <c r="D52" s="108"/>
      <c r="E52" s="108"/>
      <c r="F52" s="108"/>
      <c r="G52" s="108"/>
      <c r="H52" s="108"/>
      <c r="I52" s="108"/>
    </row>
    <row r="53" spans="1:25" x14ac:dyDescent="0.25">
      <c r="B53" s="10"/>
      <c r="C53" s="10"/>
      <c r="D53" s="17"/>
      <c r="E53" s="16"/>
      <c r="F53" s="43"/>
    </row>
    <row r="54" spans="1:25" ht="18" x14ac:dyDescent="0.25">
      <c r="B54" s="10"/>
      <c r="C54" s="10"/>
      <c r="D54" s="17"/>
      <c r="E54" s="16"/>
      <c r="F54" s="43"/>
      <c r="G54" s="75"/>
      <c r="H54" s="76"/>
      <c r="I54" s="76"/>
    </row>
    <row r="56" spans="1:25" x14ac:dyDescent="0.25">
      <c r="B56" s="10"/>
      <c r="C56" s="10"/>
      <c r="D56" s="17"/>
      <c r="E56" s="16"/>
      <c r="F56" s="43"/>
      <c r="G56" s="56"/>
      <c r="H56" s="68"/>
      <c r="I56" s="58"/>
    </row>
    <row r="59" spans="1:25" s="10" customFormat="1" ht="18" x14ac:dyDescent="0.25">
      <c r="B59" s="29"/>
      <c r="C59" s="29"/>
      <c r="D59" s="29"/>
      <c r="E59" s="29"/>
      <c r="F59" s="29"/>
      <c r="G59" s="29"/>
      <c r="H59" s="29"/>
      <c r="I59" s="29"/>
      <c r="L59" s="42"/>
      <c r="M59" s="42"/>
      <c r="N59" s="42"/>
      <c r="O59" s="42"/>
      <c r="P59" s="42"/>
      <c r="Q59" s="42"/>
      <c r="R59" s="42"/>
      <c r="S59" s="42"/>
      <c r="T59" s="42"/>
      <c r="U59" s="42"/>
      <c r="V59" s="42"/>
      <c r="W59" s="42"/>
      <c r="X59" s="42"/>
      <c r="Y59" s="42"/>
    </row>
    <row r="62" spans="1:25" x14ac:dyDescent="0.25">
      <c r="F62" s="10"/>
    </row>
    <row r="63" spans="1:25" x14ac:dyDescent="0.25">
      <c r="F63" s="10"/>
    </row>
    <row r="64" spans="1:25"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sheetData>
  <sheetProtection selectLockedCells="1"/>
  <mergeCells count="6">
    <mergeCell ref="B52:I52"/>
    <mergeCell ref="B51:I51"/>
    <mergeCell ref="B1:I1"/>
    <mergeCell ref="B2:I2"/>
    <mergeCell ref="B3:I3"/>
    <mergeCell ref="B4:I4"/>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CE52F9-849F-4877-862B-E89AD503665D}">
          <x14:formula1>
            <xm:f>DAta!$A$2:$A$23</xm:f>
          </x14:formula1>
          <xm:sqref>C35</xm:sqref>
        </x14:dataValidation>
        <x14:dataValidation type="list" allowBlank="1" showInputMessage="1" showErrorMessage="1" xr:uid="{2EBFBCE8-408A-48C7-BDFC-C7A94A1285AF}">
          <x14:formula1>
            <xm:f>DAta!$C$2:$C$11</xm:f>
          </x14:formula1>
          <xm:sqref>C45</xm:sqref>
        </x14:dataValidation>
        <x14:dataValidation type="list" allowBlank="1" showInputMessage="1" showErrorMessage="1" xr:uid="{BC5487F1-78A2-459D-971F-444D282CD1D6}">
          <x14:formula1>
            <xm:f>DAta!$E$2:$E$11</xm:f>
          </x14:formula1>
          <xm:sqref>C46</xm:sqref>
        </x14:dataValidation>
        <x14:dataValidation type="list" allowBlank="1" showInputMessage="1" showErrorMessage="1" xr:uid="{11CFB7E3-980A-48DA-8336-D10841795B4D}">
          <x14:formula1>
            <xm:f>DAta!$H$2:$H$31</xm:f>
          </x14:formula1>
          <xm:sqref>H32</xm:sqref>
        </x14:dataValidation>
        <x14:dataValidation type="list" allowBlank="1" showInputMessage="1" showErrorMessage="1" xr:uid="{9F8A9939-6349-4075-BCB8-776EC7955801}">
          <x14:formula1>
            <xm:f>DAta!$F$2:$F$12</xm:f>
          </x14:formula1>
          <xm:sqref>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C46E9-F5B9-4682-AB87-CC6FBA180BA8}">
  <sheetPr codeName="Sheet1">
    <pageSetUpPr fitToPage="1"/>
  </sheetPr>
  <dimension ref="A1:AA68"/>
  <sheetViews>
    <sheetView zoomScale="85" zoomScaleNormal="85" workbookViewId="0"/>
  </sheetViews>
  <sheetFormatPr defaultRowHeight="15" x14ac:dyDescent="0.25"/>
  <cols>
    <col min="1" max="1" width="3.42578125" customWidth="1"/>
    <col min="2" max="2" width="45" customWidth="1"/>
    <col min="3" max="3" width="9" customWidth="1"/>
    <col min="4" max="4" width="12.7109375" style="8" customWidth="1"/>
    <col min="5" max="5" width="13.140625" style="9" customWidth="1"/>
    <col min="6" max="6" width="5" customWidth="1"/>
    <col min="7" max="7" width="46.710937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6.28515625" style="30" hidden="1" customWidth="1"/>
    <col min="17" max="17" width="19.285156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4" width="13.5703125" style="30" hidden="1" customWidth="1"/>
    <col min="25" max="25" width="12.42578125" style="30" hidden="1" customWidth="1"/>
    <col min="26" max="26" width="20.5703125" hidden="1" customWidth="1"/>
    <col min="27" max="27" width="13.42578125" bestFit="1" customWidth="1"/>
  </cols>
  <sheetData>
    <row r="1" spans="1:26" x14ac:dyDescent="0.25">
      <c r="A1" s="10"/>
      <c r="B1" s="110"/>
      <c r="C1" s="110"/>
      <c r="D1" s="110"/>
      <c r="E1" s="110"/>
      <c r="F1" s="110"/>
      <c r="G1" s="110"/>
      <c r="H1" s="110"/>
      <c r="I1" s="110"/>
    </row>
    <row r="2" spans="1:26" x14ac:dyDescent="0.25">
      <c r="A2" s="10"/>
      <c r="B2" s="110"/>
      <c r="C2" s="110"/>
      <c r="D2" s="110"/>
      <c r="E2" s="110"/>
      <c r="F2" s="110"/>
      <c r="G2" s="110"/>
      <c r="H2" s="110"/>
      <c r="I2" s="110"/>
    </row>
    <row r="3" spans="1:26" ht="23.25" customHeight="1" x14ac:dyDescent="0.25">
      <c r="A3" s="10"/>
      <c r="B3" s="110"/>
      <c r="C3" s="110"/>
      <c r="D3" s="110"/>
      <c r="E3" s="110"/>
      <c r="F3" s="110"/>
      <c r="G3" s="110"/>
      <c r="H3" s="110"/>
      <c r="I3" s="110"/>
    </row>
    <row r="4" spans="1:26" ht="22.5" x14ac:dyDescent="0.3">
      <c r="A4" s="10"/>
      <c r="B4" s="111" t="s">
        <v>72</v>
      </c>
      <c r="C4" s="111"/>
      <c r="D4" s="111"/>
      <c r="E4" s="111"/>
      <c r="F4" s="111"/>
      <c r="G4" s="111"/>
      <c r="H4" s="111"/>
      <c r="I4" s="111"/>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122</v>
      </c>
      <c r="Z5" s="33" t="s">
        <v>123</v>
      </c>
    </row>
    <row r="6" spans="1:26" ht="14.25" customHeight="1" x14ac:dyDescent="0.25">
      <c r="A6" s="10"/>
      <c r="B6" s="43"/>
      <c r="C6" s="43"/>
      <c r="D6" s="44"/>
      <c r="E6" s="45"/>
      <c r="F6" s="43"/>
      <c r="G6" s="43"/>
      <c r="H6" s="43"/>
      <c r="I6" s="43"/>
      <c r="M6" s="30">
        <v>0</v>
      </c>
      <c r="X6" s="34">
        <f>-D38</f>
        <v>-160973.86090076444</v>
      </c>
      <c r="Z6" s="70">
        <f>SUM(X6:Y6)</f>
        <v>-160973.86090076444</v>
      </c>
    </row>
    <row r="7" spans="1:26" ht="14.25" customHeight="1" x14ac:dyDescent="0.25">
      <c r="A7" s="10"/>
      <c r="B7" s="43"/>
      <c r="C7" s="43"/>
      <c r="D7" s="44"/>
      <c r="E7" s="45"/>
      <c r="F7" s="43"/>
      <c r="G7" s="43"/>
      <c r="H7" s="43"/>
      <c r="I7" s="43"/>
      <c r="M7" s="30">
        <v>1</v>
      </c>
      <c r="N7" s="34">
        <f t="shared" ref="N7:N36" si="0">W7+T7+U7-V7</f>
        <v>-6305.6840492550909</v>
      </c>
      <c r="O7" s="35">
        <f t="shared" ref="O7:O36" si="1">N7/P7/M7</f>
        <v>-3.9172099208966332E-2</v>
      </c>
      <c r="P7" s="36">
        <f>'With Loan'!$D$38</f>
        <v>160973.86090076444</v>
      </c>
      <c r="Q7" s="37">
        <f>'With Loan'!$H$31</f>
        <v>3.5000000000000003E-2</v>
      </c>
      <c r="R7" s="38">
        <f>'With Loan'!$D$24</f>
        <v>495990</v>
      </c>
      <c r="S7" s="38">
        <f>'With Loan'!$D$40</f>
        <v>347193</v>
      </c>
      <c r="T7" s="39">
        <f t="shared" ref="T7:T36" si="2">$R$7*(1+Q7)^M7-$R$7</f>
        <v>17359.649999999965</v>
      </c>
      <c r="U7" s="39">
        <f>S7-_xlfn.XLOOKUP($M7*12,'30% Down Amortization'!$A$4:$A$363,'30% Down Amortization'!$E$4:$E$363,0,0,1)</f>
        <v>6384.1065553824883</v>
      </c>
      <c r="V7" s="39">
        <f>(R7+T7)*'With Loan'!$H$36</f>
        <v>35934.4755</v>
      </c>
      <c r="W7" s="36">
        <f>'With Loan'!$I$27*'With Loan'!$M7</f>
        <v>5885.0348953624562</v>
      </c>
      <c r="X7" s="34">
        <f>$I$27</f>
        <v>5885.0348953624562</v>
      </c>
      <c r="Y7" s="80">
        <f>IF($H$32=$M7,R7+T7-V7-_xlfn.XLOOKUP(M7*12,'30% Down Amortization'!$A$4:$A$363,'30% Down Amortization'!$E$4:$E$363,0,0,1),0)</f>
        <v>0</v>
      </c>
      <c r="Z7" s="70">
        <f t="shared" ref="Z7:Z36" si="3">IF($H$32&gt;=M7,SUM(X7:Y7),0)</f>
        <v>5885.0348953624562</v>
      </c>
    </row>
    <row r="8" spans="1:26" ht="14.25" customHeight="1" x14ac:dyDescent="0.25">
      <c r="A8" s="10"/>
      <c r="B8" s="43"/>
      <c r="C8" s="43"/>
      <c r="D8" s="44"/>
      <c r="E8" s="45"/>
      <c r="F8" s="43"/>
      <c r="G8" s="43"/>
      <c r="H8" s="43"/>
      <c r="I8" s="43"/>
      <c r="M8" s="30">
        <v>2</v>
      </c>
      <c r="N8" s="34">
        <f t="shared" si="0"/>
        <v>22916.550425924615</v>
      </c>
      <c r="O8" s="35">
        <f t="shared" si="1"/>
        <v>7.1180967822011748E-2</v>
      </c>
      <c r="P8" s="36">
        <f>'With Loan'!$D$38</f>
        <v>160973.86090076444</v>
      </c>
      <c r="Q8" s="37">
        <f>'With Loan'!$H$31</f>
        <v>3.5000000000000003E-2</v>
      </c>
      <c r="R8" s="38">
        <f>'With Loan'!$D$24</f>
        <v>495990</v>
      </c>
      <c r="S8" s="38">
        <f>'With Loan'!$D$40</f>
        <v>347193</v>
      </c>
      <c r="T8" s="39">
        <f t="shared" si="2"/>
        <v>35326.887749999994</v>
      </c>
      <c r="U8" s="39">
        <f>S8-_xlfn.XLOOKUP($M8*12,'30% Down Amortization'!$A$4:$A$363,'30% Down Amortization'!$E$4:$E$363,0,0,1)</f>
        <v>13011.77502769971</v>
      </c>
      <c r="V8" s="39">
        <f>(R8+T8)*'With Loan'!$H$36</f>
        <v>37192.182142500002</v>
      </c>
      <c r="W8" s="36">
        <f>'With Loan'!$I$27*'With Loan'!$M8</f>
        <v>11770.069790724912</v>
      </c>
      <c r="X8" s="34">
        <f t="shared" ref="X8:X36" si="4">$I$27</f>
        <v>5885.0348953624562</v>
      </c>
      <c r="Y8" s="80">
        <f>IF($H$32=$M8,R8+T8-V8-_xlfn.XLOOKUP(M8*12,'30% Down Amortization'!$A$4:$A$363,'30% Down Amortization'!$E$4:$E$363,0,0,1),0)</f>
        <v>0</v>
      </c>
      <c r="Z8" s="70">
        <f t="shared" si="3"/>
        <v>5885.0348953624562</v>
      </c>
    </row>
    <row r="9" spans="1:26" ht="14.25" customHeight="1" x14ac:dyDescent="0.25">
      <c r="A9" s="10"/>
      <c r="B9" s="43"/>
      <c r="C9" s="43"/>
      <c r="D9" s="44"/>
      <c r="E9" s="45"/>
      <c r="F9" s="43"/>
      <c r="G9" s="43"/>
      <c r="H9" s="43"/>
      <c r="I9" s="43"/>
      <c r="M9" s="30">
        <v>3</v>
      </c>
      <c r="N9" s="34">
        <f t="shared" si="0"/>
        <v>52976.472608751203</v>
      </c>
      <c r="O9" s="35">
        <f t="shared" si="1"/>
        <v>0.10969994820341177</v>
      </c>
      <c r="P9" s="36">
        <f>'With Loan'!$D$38</f>
        <v>160973.86090076444</v>
      </c>
      <c r="Q9" s="37">
        <f>'With Loan'!$H$31</f>
        <v>3.5000000000000003E-2</v>
      </c>
      <c r="R9" s="38">
        <f>'With Loan'!$D$24</f>
        <v>495990</v>
      </c>
      <c r="S9" s="38">
        <f>'With Loan'!$D$40</f>
        <v>347193</v>
      </c>
      <c r="T9" s="39">
        <f t="shared" si="2"/>
        <v>53922.978821249912</v>
      </c>
      <c r="U9" s="39">
        <f>S9-_xlfn.XLOOKUP($M9*12,'30% Down Amortization'!$A$4:$A$363,'30% Down Amortization'!$E$4:$E$363,0,0,1)</f>
        <v>19892.297618901415</v>
      </c>
      <c r="V9" s="39">
        <f>(R9+T9)*'With Loan'!$H$36</f>
        <v>38493.9085174875</v>
      </c>
      <c r="W9" s="36">
        <f>'With Loan'!$I$27*'With Loan'!$M9</f>
        <v>17655.104686087368</v>
      </c>
      <c r="X9" s="34">
        <f t="shared" si="4"/>
        <v>5885.0348953624562</v>
      </c>
      <c r="Y9" s="80">
        <f>IF($H$32=$M9,R9+T9-V9-_xlfn.XLOOKUP(M9*12,'30% Down Amortization'!$A$4:$A$363,'30% Down Amortization'!$E$4:$E$363,0,0,1),0)</f>
        <v>0</v>
      </c>
      <c r="Z9" s="70">
        <f t="shared" si="3"/>
        <v>5885.0348953624562</v>
      </c>
    </row>
    <row r="10" spans="1:26" ht="14.25" customHeight="1" x14ac:dyDescent="0.25">
      <c r="A10" s="10"/>
      <c r="B10" s="43"/>
      <c r="C10" s="43"/>
      <c r="D10" s="44"/>
      <c r="E10" s="45"/>
      <c r="F10" s="43"/>
      <c r="G10" s="43"/>
      <c r="H10" s="43"/>
      <c r="I10" s="43"/>
      <c r="M10" s="30">
        <v>4</v>
      </c>
      <c r="N10" s="34">
        <f t="shared" si="0"/>
        <v>83904.198386296135</v>
      </c>
      <c r="O10" s="35">
        <f t="shared" si="1"/>
        <v>0.13030717831577102</v>
      </c>
      <c r="P10" s="36">
        <f>'With Loan'!$D$38</f>
        <v>160973.86090076444</v>
      </c>
      <c r="Q10" s="37">
        <f>'With Loan'!$H$31</f>
        <v>3.5000000000000003E-2</v>
      </c>
      <c r="R10" s="38">
        <f>'With Loan'!$D$24</f>
        <v>495990</v>
      </c>
      <c r="S10" s="38">
        <f>'With Loan'!$D$40</f>
        <v>347193</v>
      </c>
      <c r="T10" s="39">
        <f t="shared" si="2"/>
        <v>73169.933079993585</v>
      </c>
      <c r="U10" s="39">
        <f>S10-_xlfn.XLOOKUP($M10*12,'30% Down Amortization'!$A$4:$A$363,'30% Down Amortization'!$E$4:$E$363,0,0,1)</f>
        <v>27035.321040452283</v>
      </c>
      <c r="V10" s="39">
        <f>(R10+T10)*'With Loan'!$H$36</f>
        <v>39841.195315599558</v>
      </c>
      <c r="W10" s="36">
        <f>'With Loan'!$I$27*'With Loan'!$M10</f>
        <v>23540.139581449825</v>
      </c>
      <c r="X10" s="34">
        <f t="shared" si="4"/>
        <v>5885.0348953624562</v>
      </c>
      <c r="Y10" s="80">
        <f>IF($H$32=$M10,R10+T10-V10-_xlfn.XLOOKUP(M10*12,'30% Down Amortization'!$A$4:$A$363,'30% Down Amortization'!$E$4:$E$363,0,0,1),0)</f>
        <v>0</v>
      </c>
      <c r="Z10" s="70">
        <f t="shared" si="3"/>
        <v>5885.0348953624562</v>
      </c>
    </row>
    <row r="11" spans="1:26" ht="14.25" customHeight="1" x14ac:dyDescent="0.25">
      <c r="A11" s="10"/>
      <c r="B11" s="43"/>
      <c r="C11" s="43"/>
      <c r="D11" s="44"/>
      <c r="E11" s="45"/>
      <c r="F11" s="43"/>
      <c r="G11" s="43"/>
      <c r="H11" s="43"/>
      <c r="I11" s="43"/>
      <c r="M11" s="30">
        <v>5</v>
      </c>
      <c r="N11" s="34">
        <f t="shared" si="0"/>
        <v>115730.92810128868</v>
      </c>
      <c r="O11" s="35">
        <f t="shared" si="1"/>
        <v>0.14378847280383406</v>
      </c>
      <c r="P11" s="36">
        <f>'With Loan'!$D$38</f>
        <v>160973.86090076444</v>
      </c>
      <c r="Q11" s="37">
        <f>'With Loan'!$H$31</f>
        <v>3.5000000000000003E-2</v>
      </c>
      <c r="R11" s="38">
        <f>'With Loan'!$D$24</f>
        <v>495990</v>
      </c>
      <c r="S11" s="38">
        <f>'With Loan'!$D$40</f>
        <v>347193</v>
      </c>
      <c r="T11" s="39">
        <f t="shared" si="2"/>
        <v>93090.530737793306</v>
      </c>
      <c r="U11" s="39">
        <f>S11-_xlfn.XLOOKUP($M11*12,'30% Down Amortization'!$A$4:$A$363,'30% Down Amortization'!$E$4:$E$363,0,0,1)</f>
        <v>34450.860038328625</v>
      </c>
      <c r="V11" s="39">
        <f>(R11+T11)*'With Loan'!$H$36</f>
        <v>41235.637151645533</v>
      </c>
      <c r="W11" s="36">
        <f>'With Loan'!$I$27*'With Loan'!$M11</f>
        <v>29425.174476812281</v>
      </c>
      <c r="X11" s="34">
        <f t="shared" si="4"/>
        <v>5885.0348953624562</v>
      </c>
      <c r="Y11" s="80">
        <f>IF($H$32=$M11,R11+T11-V11-_xlfn.XLOOKUP(M11*12,'30% Down Amortization'!$A$4:$A$363,'30% Down Amortization'!$E$4:$E$363,0,0,1),0)</f>
        <v>0</v>
      </c>
      <c r="Z11" s="70">
        <f t="shared" si="3"/>
        <v>5885.0348953624562</v>
      </c>
    </row>
    <row r="12" spans="1:26" ht="14.25" customHeight="1" x14ac:dyDescent="0.25">
      <c r="A12" s="10"/>
      <c r="B12" s="43"/>
      <c r="C12" s="43"/>
      <c r="D12" s="44"/>
      <c r="E12" s="45"/>
      <c r="F12" s="43"/>
      <c r="G12" s="43"/>
      <c r="H12" s="43"/>
      <c r="I12" s="43"/>
      <c r="M12" s="30">
        <v>6</v>
      </c>
      <c r="N12" s="34">
        <f t="shared" si="0"/>
        <v>148488.98566784791</v>
      </c>
      <c r="O12" s="35">
        <f t="shared" si="1"/>
        <v>0.15374026652209796</v>
      </c>
      <c r="P12" s="36">
        <f>'With Loan'!$D$38</f>
        <v>160973.86090076444</v>
      </c>
      <c r="Q12" s="37">
        <f>'With Loan'!$H$31</f>
        <v>3.5000000000000003E-2</v>
      </c>
      <c r="R12" s="38">
        <f>'With Loan'!$D$24</f>
        <v>495990</v>
      </c>
      <c r="S12" s="38">
        <f>'With Loan'!$D$40</f>
        <v>347193</v>
      </c>
      <c r="T12" s="39">
        <f t="shared" si="2"/>
        <v>113708.34931361605</v>
      </c>
      <c r="U12" s="39">
        <f>S12-_xlfn.XLOOKUP($M12*12,'30% Down Amortization'!$A$4:$A$363,'30% Down Amortization'!$E$4:$E$363,0,0,1)</f>
        <v>42149.311434010218</v>
      </c>
      <c r="V12" s="39">
        <f>(R12+T12)*'With Loan'!$H$36</f>
        <v>42678.884451953127</v>
      </c>
      <c r="W12" s="36">
        <f>'With Loan'!$I$27*'With Loan'!$M12</f>
        <v>35310.209372174737</v>
      </c>
      <c r="X12" s="34">
        <f t="shared" si="4"/>
        <v>5885.0348953624562</v>
      </c>
      <c r="Y12" s="80">
        <f>IF($H$32=$M12,R12+T12-V12-_xlfn.XLOOKUP(M12*12,'30% Down Amortization'!$A$4:$A$363,'30% Down Amortization'!$E$4:$E$363,0,0,1),0)</f>
        <v>0</v>
      </c>
      <c r="Z12" s="70">
        <f t="shared" si="3"/>
        <v>5885.0348953624562</v>
      </c>
    </row>
    <row r="13" spans="1:26" ht="14.25" customHeight="1" x14ac:dyDescent="0.25">
      <c r="A13" s="10"/>
      <c r="B13" s="43"/>
      <c r="C13" s="43"/>
      <c r="D13" s="44"/>
      <c r="E13" s="45"/>
      <c r="F13" s="43"/>
      <c r="G13" s="43"/>
      <c r="H13" s="43"/>
      <c r="I13" s="43"/>
      <c r="M13" s="30">
        <v>7</v>
      </c>
      <c r="N13" s="34">
        <f t="shared" si="0"/>
        <v>182211.85910051301</v>
      </c>
      <c r="O13" s="35">
        <f t="shared" si="1"/>
        <v>0.16170492178127263</v>
      </c>
      <c r="P13" s="36">
        <f>'With Loan'!$D$38</f>
        <v>160973.86090076444</v>
      </c>
      <c r="Q13" s="37">
        <f>'With Loan'!$H$31</f>
        <v>3.5000000000000003E-2</v>
      </c>
      <c r="R13" s="38">
        <f>'With Loan'!$D$24</f>
        <v>495990</v>
      </c>
      <c r="S13" s="38">
        <f>'With Loan'!$D$40</f>
        <v>347193</v>
      </c>
      <c r="T13" s="39">
        <f t="shared" si="2"/>
        <v>135047.79153959255</v>
      </c>
      <c r="U13" s="39">
        <f>S13-_xlfn.XLOOKUP($M13*12,'30% Down Amortization'!$A$4:$A$363,'30% Down Amortization'!$E$4:$E$363,0,0,1)</f>
        <v>50141.46870115475</v>
      </c>
      <c r="V13" s="39">
        <f>(R13+T13)*'With Loan'!$H$36</f>
        <v>44172.645407771481</v>
      </c>
      <c r="W13" s="36">
        <f>'With Loan'!$I$27*'With Loan'!$M13</f>
        <v>41195.244267537193</v>
      </c>
      <c r="X13" s="34">
        <f t="shared" si="4"/>
        <v>5885.0348953624562</v>
      </c>
      <c r="Y13" s="80">
        <f>IF($H$32=$M13,R13+T13-V13-_xlfn.XLOOKUP(M13*12,'30% Down Amortization'!$A$4:$A$363,'30% Down Amortization'!$E$4:$E$363,0,0,1),0)</f>
        <v>0</v>
      </c>
      <c r="Z13" s="70">
        <f t="shared" si="3"/>
        <v>5885.0348953624562</v>
      </c>
    </row>
    <row r="14" spans="1:26" ht="14.25" customHeight="1" x14ac:dyDescent="0.25">
      <c r="A14" s="10"/>
      <c r="B14" s="43"/>
      <c r="C14" s="43"/>
      <c r="D14" s="44"/>
      <c r="E14" s="45"/>
      <c r="F14" s="43"/>
      <c r="G14" s="43"/>
      <c r="H14" s="43"/>
      <c r="I14" s="43"/>
      <c r="M14" s="30">
        <v>8</v>
      </c>
      <c r="N14" s="34">
        <f t="shared" si="0"/>
        <v>216934.24250772572</v>
      </c>
      <c r="O14" s="35">
        <f t="shared" si="1"/>
        <v>0.16845455629707731</v>
      </c>
      <c r="P14" s="36">
        <f>'With Loan'!$D$38</f>
        <v>160973.86090076444</v>
      </c>
      <c r="Q14" s="37">
        <f>'With Loan'!$H$31</f>
        <v>3.5000000000000003E-2</v>
      </c>
      <c r="R14" s="38">
        <f>'With Loan'!$D$24</f>
        <v>495990</v>
      </c>
      <c r="S14" s="38">
        <f>'With Loan'!$D$40</f>
        <v>347193</v>
      </c>
      <c r="T14" s="39">
        <f t="shared" si="2"/>
        <v>157134.11424347817</v>
      </c>
      <c r="U14" s="39">
        <f>S14-_xlfn.XLOOKUP($M14*12,'30% Down Amortization'!$A$4:$A$363,'30% Down Amortization'!$E$4:$E$363,0,0,1)</f>
        <v>58438.537098391389</v>
      </c>
      <c r="V14" s="39">
        <f>(R14+T14)*'With Loan'!$H$36</f>
        <v>45718.687997043475</v>
      </c>
      <c r="W14" s="36">
        <f>'With Loan'!$I$27*'With Loan'!$M14</f>
        <v>47080.279162899649</v>
      </c>
      <c r="X14" s="34">
        <f t="shared" si="4"/>
        <v>5885.0348953624562</v>
      </c>
      <c r="Y14" s="80">
        <f>IF($H$32=$M14,R14+T14-V14-_xlfn.XLOOKUP(M14*12,'30% Down Amortization'!$A$4:$A$363,'30% Down Amortization'!$E$4:$E$363,0,0,1),0)</f>
        <v>0</v>
      </c>
      <c r="Z14" s="70">
        <f t="shared" si="3"/>
        <v>5885.0348953624562</v>
      </c>
    </row>
    <row r="15" spans="1:26" ht="14.25" customHeight="1" x14ac:dyDescent="0.25">
      <c r="A15" s="10"/>
      <c r="B15" s="43"/>
      <c r="C15" s="43"/>
      <c r="D15" s="44"/>
      <c r="E15" s="45"/>
      <c r="F15" s="43"/>
      <c r="G15" s="43"/>
      <c r="H15" s="43"/>
      <c r="I15" s="43"/>
      <c r="M15" s="30">
        <v>9</v>
      </c>
      <c r="N15" s="34">
        <f t="shared" si="0"/>
        <v>252692.07960277132</v>
      </c>
      <c r="O15" s="35">
        <f t="shared" si="1"/>
        <v>0.1744189868872551</v>
      </c>
      <c r="P15" s="36">
        <f>'With Loan'!$D$38</f>
        <v>160973.86090076444</v>
      </c>
      <c r="Q15" s="37">
        <f>'With Loan'!$H$31</f>
        <v>3.5000000000000003E-2</v>
      </c>
      <c r="R15" s="38">
        <f>'With Loan'!$D$24</f>
        <v>495990</v>
      </c>
      <c r="S15" s="38">
        <f>'With Loan'!$D$40</f>
        <v>347193</v>
      </c>
      <c r="T15" s="39">
        <f t="shared" si="2"/>
        <v>179993.45824199985</v>
      </c>
      <c r="U15" s="39">
        <f>S15-_xlfn.XLOOKUP($M15*12,'30% Down Amortization'!$A$4:$A$363,'30% Down Amortization'!$E$4:$E$363,0,0,1)</f>
        <v>67052.149379449373</v>
      </c>
      <c r="V15" s="39">
        <f>(R15+T15)*'With Loan'!$H$36</f>
        <v>47318.842076939996</v>
      </c>
      <c r="W15" s="36">
        <f>'With Loan'!$I$27*'With Loan'!$M15</f>
        <v>52965.314058262105</v>
      </c>
      <c r="X15" s="34">
        <f t="shared" si="4"/>
        <v>5885.0348953624562</v>
      </c>
      <c r="Y15" s="80">
        <f>IF($H$32=$M15,R15+T15-V15-_xlfn.XLOOKUP(M15*12,'30% Down Amortization'!$A$4:$A$363,'30% Down Amortization'!$E$4:$E$363,0,0,1),0)</f>
        <v>0</v>
      </c>
      <c r="Z15" s="70">
        <f t="shared" si="3"/>
        <v>5885.0348953624562</v>
      </c>
    </row>
    <row r="16" spans="1:26" ht="14.25" customHeight="1" x14ac:dyDescent="0.25">
      <c r="A16" s="10"/>
      <c r="B16" s="43"/>
      <c r="C16" s="43"/>
      <c r="D16" s="44"/>
      <c r="E16" s="45"/>
      <c r="F16" s="43"/>
      <c r="G16" s="43"/>
      <c r="H16" s="43"/>
      <c r="I16" s="43"/>
      <c r="M16" s="30">
        <v>10</v>
      </c>
      <c r="N16" s="34">
        <f t="shared" si="0"/>
        <v>289522.60878711008</v>
      </c>
      <c r="O16" s="35">
        <f t="shared" si="1"/>
        <v>0.17985690792717712</v>
      </c>
      <c r="P16" s="36">
        <f>'With Loan'!$D$38</f>
        <v>160973.86090076444</v>
      </c>
      <c r="Q16" s="37">
        <f>'With Loan'!$H$31</f>
        <v>3.5000000000000003E-2</v>
      </c>
      <c r="R16" s="38">
        <f>'With Loan'!$D$24</f>
        <v>495990</v>
      </c>
      <c r="S16" s="38">
        <f>'With Loan'!$D$40</f>
        <v>347193</v>
      </c>
      <c r="T16" s="39">
        <f t="shared" si="2"/>
        <v>203652.87928046985</v>
      </c>
      <c r="U16" s="39">
        <f>S16-_xlfn.XLOOKUP($M16*12,'30% Down Amortization'!$A$4:$A$363,'30% Down Amortization'!$E$4:$E$363,0,0,1)</f>
        <v>75994.382102648553</v>
      </c>
      <c r="V16" s="39">
        <f>(R16+T16)*'With Loan'!$H$36</f>
        <v>48975.001549632892</v>
      </c>
      <c r="W16" s="36">
        <f>'With Loan'!$I$27*'With Loan'!$M16</f>
        <v>58850.348953624562</v>
      </c>
      <c r="X16" s="34">
        <f t="shared" si="4"/>
        <v>5885.0348953624562</v>
      </c>
      <c r="Y16" s="80">
        <f>IF($H$32=$M16,R16+T16-V16-_xlfn.XLOOKUP(M16*12,'30% Down Amortization'!$A$4:$A$363,'30% Down Amortization'!$E$4:$E$363,0,0,1),0)</f>
        <v>0</v>
      </c>
      <c r="Z16" s="70">
        <f t="shared" si="3"/>
        <v>5885.0348953624562</v>
      </c>
    </row>
    <row r="17" spans="1:27" ht="14.25" customHeight="1" x14ac:dyDescent="0.25">
      <c r="A17" s="10"/>
      <c r="B17" s="43"/>
      <c r="C17" s="43"/>
      <c r="D17" s="44"/>
      <c r="E17" s="45"/>
      <c r="F17" s="43"/>
      <c r="G17" s="43"/>
      <c r="H17" s="43"/>
      <c r="I17" s="43"/>
      <c r="M17" s="30">
        <v>11</v>
      </c>
      <c r="N17" s="34">
        <f t="shared" si="0"/>
        <v>327464.40986302204</v>
      </c>
      <c r="O17" s="35">
        <f t="shared" si="1"/>
        <v>0.18493370065889936</v>
      </c>
      <c r="P17" s="36">
        <f>'With Loan'!$D$38</f>
        <v>160973.86090076444</v>
      </c>
      <c r="Q17" s="37">
        <f>'With Loan'!$H$31</f>
        <v>3.5000000000000003E-2</v>
      </c>
      <c r="R17" s="38">
        <f>'With Loan'!$D$24</f>
        <v>495990</v>
      </c>
      <c r="S17" s="38">
        <f>'With Loan'!$D$40</f>
        <v>347193</v>
      </c>
      <c r="T17" s="39">
        <f t="shared" si="2"/>
        <v>228140.38005528622</v>
      </c>
      <c r="U17" s="39">
        <f>S17-_xlfn.XLOOKUP($M17*12,'30% Down Amortization'!$A$4:$A$363,'30% Down Amortization'!$E$4:$E$363,0,0,1)</f>
        <v>85277.772562618891</v>
      </c>
      <c r="V17" s="39">
        <f>(R17+T17)*'With Loan'!$H$36</f>
        <v>50689.126603870041</v>
      </c>
      <c r="W17" s="36">
        <f>'With Loan'!$I$27*'With Loan'!$M17</f>
        <v>64735.383848987018</v>
      </c>
      <c r="X17" s="34">
        <f t="shared" si="4"/>
        <v>5885.0348953624562</v>
      </c>
      <c r="Y17" s="80">
        <f>IF($H$32=$M17,R17+T17-V17-_xlfn.XLOOKUP(M17*12,'30% Down Amortization'!$A$4:$A$363,'30% Down Amortization'!$E$4:$E$363,0,0,1),0)</f>
        <v>0</v>
      </c>
      <c r="Z17" s="70">
        <f t="shared" si="3"/>
        <v>5885.0348953624562</v>
      </c>
    </row>
    <row r="18" spans="1:27" ht="14.25" customHeight="1" x14ac:dyDescent="0.25">
      <c r="A18" s="10"/>
      <c r="B18" s="43"/>
      <c r="C18" s="43"/>
      <c r="D18" s="44"/>
      <c r="E18" s="45"/>
      <c r="F18" s="43"/>
      <c r="G18" s="43"/>
      <c r="H18" s="43"/>
      <c r="I18" s="43"/>
      <c r="M18" s="30">
        <v>12</v>
      </c>
      <c r="N18" s="34">
        <f t="shared" si="0"/>
        <v>366557.45243455039</v>
      </c>
      <c r="O18" s="35">
        <f t="shared" si="1"/>
        <v>0.18976033871969336</v>
      </c>
      <c r="P18" s="36">
        <f>'With Loan'!$D$38</f>
        <v>160973.86090076444</v>
      </c>
      <c r="Q18" s="37">
        <f>'With Loan'!$H$31</f>
        <v>3.5000000000000003E-2</v>
      </c>
      <c r="R18" s="38">
        <f>'With Loan'!$D$24</f>
        <v>495990</v>
      </c>
      <c r="S18" s="38">
        <f>'With Loan'!$D$40</f>
        <v>347193</v>
      </c>
      <c r="T18" s="39">
        <f t="shared" si="2"/>
        <v>253484.9433572212</v>
      </c>
      <c r="U18" s="39">
        <f>S18-_xlfn.XLOOKUP($M18*12,'30% Down Amortization'!$A$4:$A$363,'30% Down Amortization'!$E$4:$E$363,0,0,1)</f>
        <v>94915.336367985175</v>
      </c>
      <c r="V18" s="39">
        <f>(R18+T18)*'With Loan'!$H$36</f>
        <v>52463.24603500549</v>
      </c>
      <c r="W18" s="36">
        <f>'With Loan'!$I$27*'With Loan'!$M18</f>
        <v>70620.418744349474</v>
      </c>
      <c r="X18" s="34">
        <f t="shared" si="4"/>
        <v>5885.0348953624562</v>
      </c>
      <c r="Y18" s="80">
        <f>IF($H$32=$M18,R18+T18-V18-_xlfn.XLOOKUP(M18*12,'30% Down Amortization'!$A$4:$A$363,'30% Down Amortization'!$E$4:$E$363,0,0,1),0)</f>
        <v>0</v>
      </c>
      <c r="Z18" s="70">
        <f t="shared" si="3"/>
        <v>5885.0348953624562</v>
      </c>
    </row>
    <row r="19" spans="1:27" ht="14.25" customHeight="1" x14ac:dyDescent="0.25">
      <c r="A19" s="10"/>
      <c r="B19" s="43"/>
      <c r="C19" s="43"/>
      <c r="D19" s="44"/>
      <c r="E19" s="45"/>
      <c r="F19" s="43"/>
      <c r="G19" s="43"/>
      <c r="H19" s="43"/>
      <c r="I19" s="43"/>
      <c r="M19" s="30">
        <v>13</v>
      </c>
      <c r="N19" s="34">
        <f t="shared" si="0"/>
        <v>406843.14605787001</v>
      </c>
      <c r="O19" s="35">
        <f t="shared" si="1"/>
        <v>0.19441433810877512</v>
      </c>
      <c r="P19" s="36">
        <f>'With Loan'!$D$38</f>
        <v>160973.86090076444</v>
      </c>
      <c r="Q19" s="37">
        <f>'With Loan'!$H$31</f>
        <v>3.5000000000000003E-2</v>
      </c>
      <c r="R19" s="38">
        <f>'With Loan'!$D$24</f>
        <v>495990</v>
      </c>
      <c r="S19" s="38">
        <f>'With Loan'!$D$40</f>
        <v>347193</v>
      </c>
      <c r="T19" s="39">
        <f t="shared" si="2"/>
        <v>279716.5663747238</v>
      </c>
      <c r="U19" s="39">
        <f>S19-_xlfn.XLOOKUP($M19*12,'30% Down Amortization'!$A$4:$A$363,'30% Down Amortization'!$E$4:$E$363,0,0,1)</f>
        <v>104920.58568966493</v>
      </c>
      <c r="V19" s="39">
        <f>(R19+T19)*'With Loan'!$H$36</f>
        <v>54299.459646230673</v>
      </c>
      <c r="W19" s="36">
        <f>'With Loan'!$I$27*'With Loan'!$M19</f>
        <v>76505.453639711923</v>
      </c>
      <c r="X19" s="34">
        <f t="shared" si="4"/>
        <v>5885.0348953624562</v>
      </c>
      <c r="Y19" s="80">
        <f>IF($H$32=$M19,R19+T19-V19-_xlfn.XLOOKUP(M19*12,'30% Down Amortization'!$A$4:$A$363,'30% Down Amortization'!$E$4:$E$363,0,0,1),0)</f>
        <v>0</v>
      </c>
      <c r="Z19" s="70">
        <f t="shared" si="3"/>
        <v>5885.0348953624562</v>
      </c>
    </row>
    <row r="20" spans="1:27" ht="14.25" customHeight="1" x14ac:dyDescent="0.25">
      <c r="A20" s="10"/>
      <c r="B20" s="43"/>
      <c r="C20" s="43"/>
      <c r="D20" s="44"/>
      <c r="E20" s="45"/>
      <c r="F20" s="43"/>
      <c r="G20" s="43"/>
      <c r="H20" s="43"/>
      <c r="I20" s="43"/>
      <c r="M20" s="30">
        <v>14</v>
      </c>
      <c r="N20" s="34">
        <f t="shared" si="0"/>
        <v>448364.39220442635</v>
      </c>
      <c r="O20" s="35">
        <f t="shared" si="1"/>
        <v>0.1989517294012409</v>
      </c>
      <c r="P20" s="36">
        <f>'With Loan'!$D$38</f>
        <v>160973.86090076444</v>
      </c>
      <c r="Q20" s="37">
        <f>'With Loan'!$H$31</f>
        <v>3.5000000000000003E-2</v>
      </c>
      <c r="R20" s="38">
        <f>'With Loan'!$D$24</f>
        <v>495990</v>
      </c>
      <c r="S20" s="38">
        <f>'With Loan'!$D$40</f>
        <v>347193</v>
      </c>
      <c r="T20" s="39">
        <f t="shared" si="2"/>
        <v>306866.2961978392</v>
      </c>
      <c r="U20" s="39">
        <f>S20-_xlfn.XLOOKUP($M20*12,'30% Down Amortization'!$A$4:$A$363,'30% Down Amortization'!$E$4:$E$363,0,0,1)</f>
        <v>115307.5482053615</v>
      </c>
      <c r="V20" s="39">
        <f>(R20+T20)*'With Loan'!$H$36</f>
        <v>56199.940733848751</v>
      </c>
      <c r="W20" s="36">
        <f>'With Loan'!$I$27*'With Loan'!$M20</f>
        <v>82390.488535074386</v>
      </c>
      <c r="X20" s="34">
        <f t="shared" si="4"/>
        <v>5885.0348953624562</v>
      </c>
      <c r="Y20" s="80">
        <f>IF($H$32=$M20,R20+T20-V20-_xlfn.XLOOKUP(M20*12,'30% Down Amortization'!$A$4:$A$363,'30% Down Amortization'!$E$4:$E$363,0,0,1),0)</f>
        <v>0</v>
      </c>
      <c r="Z20" s="70">
        <f t="shared" si="3"/>
        <v>5885.0348953624562</v>
      </c>
    </row>
    <row r="21" spans="1:27" ht="14.25" customHeight="1" x14ac:dyDescent="0.25">
      <c r="A21" s="10"/>
      <c r="B21" s="43"/>
      <c r="C21" s="43"/>
      <c r="D21" s="44"/>
      <c r="E21" s="45"/>
      <c r="F21" s="43"/>
      <c r="G21" s="43"/>
      <c r="H21" s="43"/>
      <c r="I21" s="43"/>
      <c r="M21" s="40">
        <v>15</v>
      </c>
      <c r="N21" s="34">
        <f t="shared" si="0"/>
        <v>491165.63810248097</v>
      </c>
      <c r="O21" s="35">
        <f t="shared" si="1"/>
        <v>0.20341424185436327</v>
      </c>
      <c r="P21" s="36">
        <f>'With Loan'!$D$38</f>
        <v>160973.86090076444</v>
      </c>
      <c r="Q21" s="37">
        <f>'With Loan'!$H$31</f>
        <v>3.5000000000000003E-2</v>
      </c>
      <c r="R21" s="38">
        <f>'With Loan'!$D$24</f>
        <v>495990</v>
      </c>
      <c r="S21" s="38">
        <f>'With Loan'!$D$40</f>
        <v>347193</v>
      </c>
      <c r="T21" s="41">
        <f t="shared" si="2"/>
        <v>334966.2665647635</v>
      </c>
      <c r="U21" s="41">
        <f>S21-_xlfn.XLOOKUP($M21*12,'30% Down Amortization'!$A$4:$A$363,'30% Down Amortization'!$E$4:$E$363,0,0,1)</f>
        <v>126090.78676681407</v>
      </c>
      <c r="V21" s="39">
        <f>(R21+T21)*'With Loan'!$H$36</f>
        <v>58166.938659533451</v>
      </c>
      <c r="W21" s="36">
        <f>'With Loan'!$I$27*'With Loan'!$M21</f>
        <v>88275.52343043685</v>
      </c>
      <c r="X21" s="34">
        <f t="shared" si="4"/>
        <v>5885.0348953624562</v>
      </c>
      <c r="Y21" s="80">
        <f>IF($H$32=$M21,R21+T21-V21-_xlfn.XLOOKUP(M21*12,'30% Down Amortization'!$A$4:$A$363,'30% Down Amortization'!$E$4:$E$363,0,0,1),0)</f>
        <v>551687.11467204406</v>
      </c>
      <c r="Z21" s="70">
        <f t="shared" si="3"/>
        <v>557572.14956740651</v>
      </c>
      <c r="AA21" s="86"/>
    </row>
    <row r="22" spans="1:27" ht="14.25" customHeight="1" x14ac:dyDescent="0.25">
      <c r="A22" s="10"/>
      <c r="B22" s="43"/>
      <c r="C22" s="43"/>
      <c r="D22" s="44"/>
      <c r="E22" s="45"/>
      <c r="F22" s="43"/>
      <c r="G22" s="43"/>
      <c r="H22" s="43"/>
      <c r="I22" s="43"/>
      <c r="M22" s="30">
        <v>16</v>
      </c>
      <c r="N22" s="34">
        <f t="shared" si="0"/>
        <v>535292.93252509157</v>
      </c>
      <c r="O22" s="35">
        <f t="shared" si="1"/>
        <v>0.20783379422975215</v>
      </c>
      <c r="P22" s="36">
        <f>'With Loan'!$D$38</f>
        <v>160973.86090076444</v>
      </c>
      <c r="Q22" s="37">
        <f>'With Loan'!$H$31</f>
        <v>3.5000000000000003E-2</v>
      </c>
      <c r="R22" s="38">
        <f>'With Loan'!$D$24</f>
        <v>495990</v>
      </c>
      <c r="S22" s="38">
        <f>'With Loan'!$D$40</f>
        <v>347193</v>
      </c>
      <c r="T22" s="39">
        <f t="shared" si="2"/>
        <v>364049.73589453008</v>
      </c>
      <c r="U22" s="39">
        <f>S22-_xlfn.XLOOKUP($M22*12,'30% Down Amortization'!$A$4:$A$363,'30% Down Amortization'!$E$4:$E$363,0,0,1)</f>
        <v>137285.41981737936</v>
      </c>
      <c r="V22" s="39">
        <f>(R22+T22)*'With Loan'!$H$36</f>
        <v>60202.781512617112</v>
      </c>
      <c r="W22" s="36">
        <f>'With Loan'!$I$27*'With Loan'!$M22</f>
        <v>94160.558325799298</v>
      </c>
      <c r="X22" s="34">
        <f t="shared" si="4"/>
        <v>5885.0348953624562</v>
      </c>
      <c r="Y22" s="80">
        <f>IF($H$32=$M22,R22+T22-V22-_xlfn.XLOOKUP(M22*12,'30% Down Amortization'!$A$4:$A$363,'30% Down Amortization'!$E$4:$E$363,0,0,1),0)</f>
        <v>0</v>
      </c>
      <c r="Z22" s="70">
        <f t="shared" si="3"/>
        <v>0</v>
      </c>
    </row>
    <row r="23" spans="1:27" ht="18" x14ac:dyDescent="0.25">
      <c r="A23" s="10"/>
      <c r="B23" s="46" t="s">
        <v>0</v>
      </c>
      <c r="C23" s="46"/>
      <c r="D23" s="47"/>
      <c r="E23" s="48"/>
      <c r="F23" s="49"/>
      <c r="G23" s="46" t="s">
        <v>23</v>
      </c>
      <c r="H23" s="48" t="s">
        <v>11</v>
      </c>
      <c r="I23" s="48" t="s">
        <v>12</v>
      </c>
      <c r="M23" s="30">
        <v>17</v>
      </c>
      <c r="N23" s="34">
        <f t="shared" si="0"/>
        <v>580793.98359501094</v>
      </c>
      <c r="O23" s="35">
        <f t="shared" si="1"/>
        <v>0.21223540135648739</v>
      </c>
      <c r="P23" s="36">
        <f>'With Loan'!$D$38</f>
        <v>160973.86090076444</v>
      </c>
      <c r="Q23" s="37">
        <f>'With Loan'!$H$31</f>
        <v>3.5000000000000003E-2</v>
      </c>
      <c r="R23" s="38">
        <f>'With Loan'!$D$24</f>
        <v>495990</v>
      </c>
      <c r="S23" s="38">
        <f>'With Loan'!$D$40</f>
        <v>347193</v>
      </c>
      <c r="T23" s="39">
        <f t="shared" si="2"/>
        <v>394151.12665083853</v>
      </c>
      <c r="U23" s="39">
        <f>S23-_xlfn.XLOOKUP($M23*12,'30% Down Amortization'!$A$4:$A$363,'30% Down Amortization'!$E$4:$E$363,0,0,1)</f>
        <v>148907.14258856935</v>
      </c>
      <c r="V23" s="39">
        <f>(R23+T23)*'With Loan'!$H$36</f>
        <v>62309.878865558705</v>
      </c>
      <c r="W23" s="36">
        <f>'With Loan'!$I$27*'With Loan'!$M23</f>
        <v>100045.59322116175</v>
      </c>
      <c r="X23" s="34">
        <f t="shared" si="4"/>
        <v>5885.0348953624562</v>
      </c>
      <c r="Y23" s="80">
        <f>IF($H$32=$M23,R23+T23-V23-_xlfn.XLOOKUP(M23*12,'30% Down Amortization'!$A$4:$A$363,'30% Down Amortization'!$E$4:$E$363,0,0,1),0)</f>
        <v>0</v>
      </c>
      <c r="Z23" s="70">
        <f t="shared" si="3"/>
        <v>0</v>
      </c>
    </row>
    <row r="24" spans="1:27" x14ac:dyDescent="0.25">
      <c r="A24" s="10"/>
      <c r="B24" s="56" t="s">
        <v>84</v>
      </c>
      <c r="C24" s="56"/>
      <c r="D24" s="61">
        <f>D34</f>
        <v>495990</v>
      </c>
      <c r="E24" s="45"/>
      <c r="F24" s="43"/>
      <c r="G24" s="44" t="s">
        <v>24</v>
      </c>
      <c r="H24" s="50">
        <f>Summary!D11</f>
        <v>1775</v>
      </c>
      <c r="I24" s="53">
        <f>H24*12</f>
        <v>21300</v>
      </c>
      <c r="M24" s="30">
        <v>18</v>
      </c>
      <c r="N24" s="34">
        <f t="shared" si="0"/>
        <v>627718.21867955429</v>
      </c>
      <c r="O24" s="35">
        <f t="shared" si="1"/>
        <v>0.216639112561167</v>
      </c>
      <c r="P24" s="36">
        <f>'With Loan'!$D$38</f>
        <v>160973.86090076444</v>
      </c>
      <c r="Q24" s="37">
        <f>'With Loan'!$H$31</f>
        <v>3.5000000000000003E-2</v>
      </c>
      <c r="R24" s="38">
        <f>'With Loan'!$D$24</f>
        <v>495990</v>
      </c>
      <c r="S24" s="38">
        <f>'With Loan'!$D$40</f>
        <v>347193</v>
      </c>
      <c r="T24" s="39">
        <f t="shared" si="2"/>
        <v>425306.06608361786</v>
      </c>
      <c r="U24" s="39">
        <f>S24-_xlfn.XLOOKUP($M24*12,'30% Down Amortization'!$A$4:$A$363,'30% Down Amortization'!$E$4:$E$363,0,0,1)</f>
        <v>160972.24910526545</v>
      </c>
      <c r="V24" s="39">
        <f>(R24+T24)*'With Loan'!$H$36</f>
        <v>64490.724625853254</v>
      </c>
      <c r="W24" s="36">
        <f>'With Loan'!$I$27*'With Loan'!$M24</f>
        <v>105930.62811652421</v>
      </c>
      <c r="X24" s="34">
        <f t="shared" si="4"/>
        <v>5885.0348953624562</v>
      </c>
      <c r="Y24" s="80">
        <f>IF($H$32=$M24,R24+T24-V24-_xlfn.XLOOKUP(M24*12,'30% Down Amortization'!$A$4:$A$363,'30% Down Amortization'!$E$4:$E$363,0,0,1),0)</f>
        <v>0</v>
      </c>
      <c r="Z24" s="70">
        <f t="shared" si="3"/>
        <v>0</v>
      </c>
    </row>
    <row r="25" spans="1:27" x14ac:dyDescent="0.25">
      <c r="A25" s="10"/>
      <c r="B25" s="56" t="s">
        <v>89</v>
      </c>
      <c r="C25" s="56"/>
      <c r="D25" s="61">
        <f>I25</f>
        <v>42600</v>
      </c>
      <c r="E25" s="45"/>
      <c r="F25" s="43"/>
      <c r="G25" s="44" t="s">
        <v>136</v>
      </c>
      <c r="H25" s="50">
        <f>H24*2</f>
        <v>3550</v>
      </c>
      <c r="I25" s="53">
        <f t="shared" ref="I25" si="5">H25*12</f>
        <v>42600</v>
      </c>
      <c r="M25" s="30">
        <v>19</v>
      </c>
      <c r="N25" s="34">
        <f t="shared" si="0"/>
        <v>676116.84645113209</v>
      </c>
      <c r="O25" s="35">
        <f t="shared" si="1"/>
        <v>0.22106133867023092</v>
      </c>
      <c r="P25" s="36">
        <f>'With Loan'!$D$38</f>
        <v>160973.86090076444</v>
      </c>
      <c r="Q25" s="37">
        <f>'With Loan'!$H$31</f>
        <v>3.5000000000000003E-2</v>
      </c>
      <c r="R25" s="38">
        <f>'With Loan'!$D$24</f>
        <v>495990</v>
      </c>
      <c r="S25" s="38">
        <f>'With Loan'!$D$40</f>
        <v>347193</v>
      </c>
      <c r="T25" s="39">
        <f t="shared" si="2"/>
        <v>457551.42839654442</v>
      </c>
      <c r="U25" s="39">
        <f>S25-_xlfn.XLOOKUP($M25*12,'30% Down Amortization'!$A$4:$A$363,'30% Down Amortization'!$E$4:$E$363,0,0,1)</f>
        <v>173497.65503045919</v>
      </c>
      <c r="V25" s="39">
        <f>(R25+T25)*'With Loan'!$H$36</f>
        <v>66747.899987758123</v>
      </c>
      <c r="W25" s="36">
        <f>'With Loan'!$I$27*'With Loan'!$M25</f>
        <v>111815.66301188667</v>
      </c>
      <c r="X25" s="34">
        <f t="shared" si="4"/>
        <v>5885.0348953624562</v>
      </c>
      <c r="Y25" s="80">
        <f>IF($H$32=$M25,R25+T25-V25-_xlfn.XLOOKUP(M25*12,'30% Down Amortization'!$A$4:$A$363,'30% Down Amortization'!$E$4:$E$363,0,0,1),0)</f>
        <v>0</v>
      </c>
      <c r="Z25" s="70">
        <f t="shared" si="3"/>
        <v>0</v>
      </c>
    </row>
    <row r="26" spans="1:27" x14ac:dyDescent="0.25">
      <c r="A26" s="10"/>
      <c r="B26" s="56" t="s">
        <v>2</v>
      </c>
      <c r="C26" s="56"/>
      <c r="D26" s="61">
        <f>D38</f>
        <v>160973.86090076444</v>
      </c>
      <c r="E26" s="45"/>
      <c r="F26" s="43"/>
      <c r="G26" s="44" t="s">
        <v>117</v>
      </c>
      <c r="H26" s="50">
        <f>D55</f>
        <v>3059.5804253864626</v>
      </c>
      <c r="I26" s="53">
        <f>E55</f>
        <v>36714.965104637544</v>
      </c>
      <c r="M26" s="30">
        <v>20</v>
      </c>
      <c r="N26" s="34">
        <f t="shared" si="0"/>
        <v>726042.9211918927</v>
      </c>
      <c r="O26" s="35">
        <f t="shared" si="1"/>
        <v>0.22551578160862912</v>
      </c>
      <c r="P26" s="36">
        <f>'With Loan'!$D$38</f>
        <v>160973.86090076444</v>
      </c>
      <c r="Q26" s="37">
        <f>'With Loan'!$H$31</f>
        <v>3.5000000000000003E-2</v>
      </c>
      <c r="R26" s="38">
        <f>'With Loan'!$D$24</f>
        <v>495990</v>
      </c>
      <c r="S26" s="38">
        <f>'With Loan'!$D$40</f>
        <v>347193</v>
      </c>
      <c r="T26" s="39">
        <f t="shared" si="2"/>
        <v>490925.37839042337</v>
      </c>
      <c r="U26" s="39">
        <f>S26-_xlfn.XLOOKUP($M26*12,'30% Down Amortization'!$A$4:$A$363,'30% Down Amortization'!$E$4:$E$363,0,0,1)</f>
        <v>186500.92138154988</v>
      </c>
      <c r="V26" s="39">
        <f>(R26+T26)*'With Loan'!$H$36</f>
        <v>69084.076487329643</v>
      </c>
      <c r="W26" s="36">
        <f>'With Loan'!$I$27*'With Loan'!$M26</f>
        <v>117700.69790724912</v>
      </c>
      <c r="X26" s="34">
        <f t="shared" si="4"/>
        <v>5885.0348953624562</v>
      </c>
      <c r="Y26" s="80">
        <f>IF($H$32=$M26,R26+T26-V26-_xlfn.XLOOKUP(M26*12,'30% Down Amortization'!$A$4:$A$363,'30% Down Amortization'!$E$4:$E$363,0,0,1),0)</f>
        <v>0</v>
      </c>
      <c r="Z26" s="70">
        <f t="shared" si="3"/>
        <v>0</v>
      </c>
    </row>
    <row r="27" spans="1:27" x14ac:dyDescent="0.25">
      <c r="A27" s="10"/>
      <c r="B27" s="56" t="s">
        <v>125</v>
      </c>
      <c r="C27" s="56"/>
      <c r="D27" s="61">
        <f>H27</f>
        <v>490.41957461353741</v>
      </c>
      <c r="E27" s="45"/>
      <c r="F27" s="43"/>
      <c r="G27" s="56" t="s">
        <v>68</v>
      </c>
      <c r="H27" s="58">
        <f>H25-H26</f>
        <v>490.41957461353741</v>
      </c>
      <c r="I27" s="59">
        <f>I25-I26</f>
        <v>5885.0348953624562</v>
      </c>
      <c r="M27" s="30">
        <v>21</v>
      </c>
      <c r="N27" s="34">
        <f t="shared" si="0"/>
        <v>777551.40942376235</v>
      </c>
      <c r="O27" s="35">
        <f t="shared" si="1"/>
        <v>0.23001409908676607</v>
      </c>
      <c r="P27" s="36">
        <f>'With Loan'!$D$38</f>
        <v>160973.86090076444</v>
      </c>
      <c r="Q27" s="37">
        <f>'With Loan'!$H$31</f>
        <v>3.5000000000000003E-2</v>
      </c>
      <c r="R27" s="38">
        <f>'With Loan'!$D$24</f>
        <v>495990</v>
      </c>
      <c r="S27" s="38">
        <f>'With Loan'!$D$40</f>
        <v>347193</v>
      </c>
      <c r="T27" s="39">
        <f t="shared" si="2"/>
        <v>525467.41663408792</v>
      </c>
      <c r="U27" s="39">
        <f>S27-_xlfn.XLOOKUP($M27*12,'30% Down Amortization'!$A$4:$A$363,'30% Down Amortization'!$E$4:$E$363,0,0,1)</f>
        <v>200000.27915144913</v>
      </c>
      <c r="V27" s="39">
        <f>(R27+T27)*'With Loan'!$H$36</f>
        <v>71502.019164386162</v>
      </c>
      <c r="W27" s="36">
        <f>'With Loan'!$I$27*'With Loan'!$M27</f>
        <v>123585.73280261157</v>
      </c>
      <c r="X27" s="34">
        <f t="shared" si="4"/>
        <v>5885.0348953624562</v>
      </c>
      <c r="Y27" s="80">
        <f>IF($H$32=$M27,R27+T27-V27-_xlfn.XLOOKUP(M27*12,'30% Down Amortization'!$A$4:$A$363,'30% Down Amortization'!$E$4:$E$363,0,0,1),0)</f>
        <v>0</v>
      </c>
      <c r="Z27" s="70">
        <f t="shared" si="3"/>
        <v>0</v>
      </c>
    </row>
    <row r="28" spans="1:27" x14ac:dyDescent="0.25">
      <c r="A28" s="10"/>
      <c r="B28" s="56" t="s">
        <v>126</v>
      </c>
      <c r="C28" s="56"/>
      <c r="D28" s="61">
        <f>H28</f>
        <v>703.41957461353741</v>
      </c>
      <c r="E28" s="45"/>
      <c r="F28" s="43"/>
      <c r="G28" s="56" t="s">
        <v>130</v>
      </c>
      <c r="H28" s="58">
        <f>H25-H26+D53+D54</f>
        <v>703.41957461353741</v>
      </c>
      <c r="I28" s="58">
        <f>I25-I26+E53+E54</f>
        <v>8441.0348953624562</v>
      </c>
      <c r="M28" s="30">
        <v>22</v>
      </c>
      <c r="N28" s="34">
        <f t="shared" si="0"/>
        <v>830699.2589481282</v>
      </c>
      <c r="O28" s="35">
        <f t="shared" si="1"/>
        <v>0.23456638868960375</v>
      </c>
      <c r="P28" s="36">
        <f>'With Loan'!$D$38</f>
        <v>160973.86090076444</v>
      </c>
      <c r="Q28" s="37">
        <f>'With Loan'!$H$31</f>
        <v>3.5000000000000003E-2</v>
      </c>
      <c r="R28" s="38">
        <f>'With Loan'!$D$24</f>
        <v>495990</v>
      </c>
      <c r="S28" s="38">
        <f>'With Loan'!$D$40</f>
        <v>347193</v>
      </c>
      <c r="T28" s="39">
        <f t="shared" si="2"/>
        <v>561218.42621628102</v>
      </c>
      <c r="U28" s="39">
        <f>S28-_xlfn.XLOOKUP($M28*12,'30% Down Amortization'!$A$4:$A$363,'30% Down Amortization'!$E$4:$E$363,0,0,1)</f>
        <v>214014.65486901291</v>
      </c>
      <c r="V28" s="39">
        <f>(R28+T28)*'With Loan'!$H$36</f>
        <v>74004.589835139675</v>
      </c>
      <c r="W28" s="36">
        <f>'With Loan'!$I$27*'With Loan'!$M28</f>
        <v>129470.76769797404</v>
      </c>
      <c r="X28" s="34">
        <f t="shared" si="4"/>
        <v>5885.0348953624562</v>
      </c>
      <c r="Y28" s="80">
        <f>IF($H$32=$M28,R28+T28-V28-_xlfn.XLOOKUP(M28*12,'30% Down Amortization'!$A$4:$A$363,'30% Down Amortization'!$E$4:$E$363,0,0,1),0)</f>
        <v>0</v>
      </c>
      <c r="Z28" s="70">
        <f t="shared" si="3"/>
        <v>0</v>
      </c>
    </row>
    <row r="29" spans="1:27" x14ac:dyDescent="0.25">
      <c r="A29" s="10"/>
      <c r="B29" s="56" t="s">
        <v>3</v>
      </c>
      <c r="C29" s="56"/>
      <c r="D29" s="61">
        <f>H39</f>
        <v>491165.63810248097</v>
      </c>
      <c r="E29" s="45"/>
      <c r="F29" s="43"/>
      <c r="G29" s="10"/>
      <c r="H29" s="10"/>
      <c r="I29" s="10"/>
      <c r="M29" s="30">
        <v>23</v>
      </c>
      <c r="N29" s="34">
        <f t="shared" si="0"/>
        <v>885545.47038245469</v>
      </c>
      <c r="O29" s="35">
        <f t="shared" si="1"/>
        <v>0.23918154635606037</v>
      </c>
      <c r="P29" s="36">
        <f>'With Loan'!$D$38</f>
        <v>160973.86090076444</v>
      </c>
      <c r="Q29" s="37">
        <f>'With Loan'!$H$31</f>
        <v>3.5000000000000003E-2</v>
      </c>
      <c r="R29" s="38">
        <f>'With Loan'!$D$24</f>
        <v>495990</v>
      </c>
      <c r="S29" s="38">
        <f>'With Loan'!$D$40</f>
        <v>347193</v>
      </c>
      <c r="T29" s="39">
        <f t="shared" si="2"/>
        <v>598220.72113385098</v>
      </c>
      <c r="U29" s="39">
        <f>S29-_xlfn.XLOOKUP($M29*12,'30% Down Amortization'!$A$4:$A$363,'30% Down Amortization'!$E$4:$E$363,0,0,1)</f>
        <v>228563.69713463675</v>
      </c>
      <c r="V29" s="39">
        <f>(R29+T29)*'With Loan'!$H$36</f>
        <v>76594.75047936957</v>
      </c>
      <c r="W29" s="36">
        <f>'With Loan'!$I$27*'With Loan'!$M29</f>
        <v>135355.8025933365</v>
      </c>
      <c r="X29" s="34">
        <f t="shared" si="4"/>
        <v>5885.0348953624562</v>
      </c>
      <c r="Y29" s="80">
        <f>IF($H$32=$M29,R29+T29-V29-_xlfn.XLOOKUP(M29*12,'30% Down Amortization'!$A$4:$A$363,'30% Down Amortization'!$E$4:$E$363,0,0,1),0)</f>
        <v>0</v>
      </c>
      <c r="Z29" s="70">
        <f t="shared" si="3"/>
        <v>0</v>
      </c>
    </row>
    <row r="30" spans="1:27" ht="18" x14ac:dyDescent="0.25">
      <c r="A30" s="10"/>
      <c r="B30" s="56" t="s">
        <v>4</v>
      </c>
      <c r="C30" s="56"/>
      <c r="D30" s="57">
        <f>H43</f>
        <v>0.20341424185436327</v>
      </c>
      <c r="E30" s="45"/>
      <c r="F30" s="43"/>
      <c r="G30" s="46" t="s">
        <v>25</v>
      </c>
      <c r="H30" s="48"/>
      <c r="I30" s="48"/>
      <c r="M30" s="30">
        <v>24</v>
      </c>
      <c r="N30" s="34">
        <f t="shared" si="0"/>
        <v>942151.17128430528</v>
      </c>
      <c r="O30" s="35">
        <f t="shared" si="1"/>
        <v>0.24386753590828669</v>
      </c>
      <c r="P30" s="36">
        <f>'With Loan'!$D$38</f>
        <v>160973.86090076444</v>
      </c>
      <c r="Q30" s="37">
        <f>'With Loan'!$H$31</f>
        <v>3.5000000000000003E-2</v>
      </c>
      <c r="R30" s="38">
        <f>'With Loan'!$D$24</f>
        <v>495990</v>
      </c>
      <c r="S30" s="38">
        <f>'With Loan'!$D$40</f>
        <v>347193</v>
      </c>
      <c r="T30" s="39">
        <f t="shared" si="2"/>
        <v>636518.09637353546</v>
      </c>
      <c r="U30" s="39">
        <f>S30-_xlfn.XLOOKUP($M30*12,'30% Down Amortization'!$A$4:$A$363,'30% Down Amortization'!$E$4:$E$363,0,0,1)</f>
        <v>243667.80416821822</v>
      </c>
      <c r="V30" s="39">
        <f>(R30+T30)*'With Loan'!$H$36</f>
        <v>79275.566746147495</v>
      </c>
      <c r="W30" s="36">
        <f>'With Loan'!$I$27*'With Loan'!$M30</f>
        <v>141240.83748869895</v>
      </c>
      <c r="X30" s="34">
        <f t="shared" si="4"/>
        <v>5885.0348953624562</v>
      </c>
      <c r="Y30" s="80">
        <f>IF($H$32=$M30,R30+T30-V30-_xlfn.XLOOKUP(M30*12,'30% Down Amortization'!$A$4:$A$363,'30% Down Amortization'!$E$4:$E$363,0,0,1),0)</f>
        <v>0</v>
      </c>
      <c r="Z30" s="70">
        <f t="shared" si="3"/>
        <v>0</v>
      </c>
    </row>
    <row r="31" spans="1:27" x14ac:dyDescent="0.25">
      <c r="A31" s="10"/>
      <c r="B31" s="56" t="s">
        <v>124</v>
      </c>
      <c r="D31" s="57">
        <f>H44</f>
        <v>0.10815371623061054</v>
      </c>
      <c r="F31" s="43"/>
      <c r="G31" s="44" t="s">
        <v>26</v>
      </c>
      <c r="H31" s="62">
        <f>Summary!D12</f>
        <v>3.5000000000000003E-2</v>
      </c>
      <c r="I31" s="45"/>
      <c r="M31" s="30">
        <v>25</v>
      </c>
      <c r="N31" s="34">
        <f t="shared" si="0"/>
        <v>1000579.6929565178</v>
      </c>
      <c r="O31" s="35">
        <f t="shared" si="1"/>
        <v>0.24863159456014916</v>
      </c>
      <c r="P31" s="36">
        <f>'With Loan'!$D$38</f>
        <v>160973.86090076444</v>
      </c>
      <c r="Q31" s="37">
        <f>'With Loan'!$H$31</f>
        <v>3.5000000000000003E-2</v>
      </c>
      <c r="R31" s="38">
        <f>'With Loan'!$D$24</f>
        <v>495990</v>
      </c>
      <c r="S31" s="38">
        <f>'With Loan'!$D$40</f>
        <v>347193</v>
      </c>
      <c r="T31" s="39">
        <f t="shared" si="2"/>
        <v>676155.87974660913</v>
      </c>
      <c r="U31" s="39">
        <f>S31-_xlfn.XLOOKUP($M31*12,'30% Down Amortization'!$A$4:$A$363,'30% Down Amortization'!$E$4:$E$363,0,0,1)</f>
        <v>259348.15240810992</v>
      </c>
      <c r="V31" s="39">
        <f>(R31+T31)*'With Loan'!$H$36</f>
        <v>82050.211582262651</v>
      </c>
      <c r="W31" s="36">
        <f>'With Loan'!$I$27*'With Loan'!$M31</f>
        <v>147125.8723840614</v>
      </c>
      <c r="X31" s="34">
        <f t="shared" si="4"/>
        <v>5885.0348953624562</v>
      </c>
      <c r="Y31" s="80">
        <f>IF($H$32=$M31,R31+T31-V31-_xlfn.XLOOKUP(M31*12,'30% Down Amortization'!$A$4:$A$363,'30% Down Amortization'!$E$4:$E$363,0,0,1),0)</f>
        <v>0</v>
      </c>
      <c r="Z31" s="70">
        <f t="shared" si="3"/>
        <v>0</v>
      </c>
    </row>
    <row r="32" spans="1:27" x14ac:dyDescent="0.25">
      <c r="A32" s="10"/>
      <c r="B32" s="56" t="s">
        <v>5</v>
      </c>
      <c r="C32" s="56"/>
      <c r="D32" s="57">
        <f>H45</f>
        <v>5.0766938618775917E-2</v>
      </c>
      <c r="E32" s="45"/>
      <c r="F32" s="43"/>
      <c r="G32" s="44" t="s">
        <v>27</v>
      </c>
      <c r="H32" s="79">
        <f>Summary!D13</f>
        <v>15</v>
      </c>
      <c r="I32" s="45"/>
      <c r="M32" s="30">
        <v>26</v>
      </c>
      <c r="N32" s="34">
        <f t="shared" si="0"/>
        <v>1060896.6500306819</v>
      </c>
      <c r="O32" s="35">
        <f t="shared" si="1"/>
        <v>0.25348039166449915</v>
      </c>
      <c r="P32" s="36">
        <f>'With Loan'!$D$38</f>
        <v>160973.86090076444</v>
      </c>
      <c r="Q32" s="37">
        <f>'With Loan'!$H$31</f>
        <v>3.5000000000000003E-2</v>
      </c>
      <c r="R32" s="38">
        <f>'With Loan'!$D$24</f>
        <v>495990</v>
      </c>
      <c r="S32" s="38">
        <f>'With Loan'!$D$40</f>
        <v>347193</v>
      </c>
      <c r="T32" s="39">
        <f t="shared" si="2"/>
        <v>717180.9855377404</v>
      </c>
      <c r="U32" s="39">
        <f>S32-_xlfn.XLOOKUP($M32*12,'30% Down Amortization'!$A$4:$A$363,'30% Down Amortization'!$E$4:$E$363,0,0,1)</f>
        <v>275626.72620115953</v>
      </c>
      <c r="V32" s="39">
        <f>(R32+T32)*'With Loan'!$H$36</f>
        <v>84921.968987641842</v>
      </c>
      <c r="W32" s="36">
        <f>'With Loan'!$I$27*'With Loan'!$M32</f>
        <v>153010.90727942385</v>
      </c>
      <c r="X32" s="34">
        <f t="shared" si="4"/>
        <v>5885.0348953624562</v>
      </c>
      <c r="Y32" s="80">
        <f>IF($H$32=$M32,R32+T32-V32-_xlfn.XLOOKUP(M32*12,'30% Down Amortization'!$A$4:$A$363,'30% Down Amortization'!$E$4:$E$363,0,0,1),0)</f>
        <v>0</v>
      </c>
      <c r="Z32" s="70">
        <f t="shared" si="3"/>
        <v>0</v>
      </c>
    </row>
    <row r="33" spans="1:26" ht="18" x14ac:dyDescent="0.25">
      <c r="A33" s="10"/>
      <c r="B33" s="46" t="s">
        <v>6</v>
      </c>
      <c r="C33" s="46"/>
      <c r="D33" s="47"/>
      <c r="E33" s="48"/>
      <c r="F33" s="43"/>
      <c r="G33" s="56" t="str">
        <f>CONCATENATE("Appreciation After ",H32," Years")</f>
        <v>Appreciation After 15 Years</v>
      </c>
      <c r="H33" s="58">
        <f>$D$34*(1+H31)^H32-$D$34</f>
        <v>334966.2665647635</v>
      </c>
      <c r="I33" s="45" t="s">
        <v>74</v>
      </c>
      <c r="M33" s="30">
        <v>27</v>
      </c>
      <c r="N33" s="34">
        <f t="shared" si="0"/>
        <v>1123170.0229296014</v>
      </c>
      <c r="O33" s="35">
        <f t="shared" si="1"/>
        <v>0.25842015284567132</v>
      </c>
      <c r="P33" s="36">
        <f>'With Loan'!$D$38</f>
        <v>160973.86090076444</v>
      </c>
      <c r="Q33" s="37">
        <f>'With Loan'!$H$31</f>
        <v>3.5000000000000003E-2</v>
      </c>
      <c r="R33" s="38">
        <f>'With Loan'!$D$24</f>
        <v>495990</v>
      </c>
      <c r="S33" s="38">
        <f>'With Loan'!$D$40</f>
        <v>347193</v>
      </c>
      <c r="T33" s="39">
        <f t="shared" si="2"/>
        <v>759641.97003156133</v>
      </c>
      <c r="U33" s="39">
        <f>S33-_xlfn.XLOOKUP($M33*12,'30% Down Amortization'!$A$4:$A$363,'30% Down Amortization'!$E$4:$E$363,0,0,1)</f>
        <v>292526.34862546308</v>
      </c>
      <c r="V33" s="39">
        <f>(R33+T33)*'With Loan'!$H$36</f>
        <v>87894.237902209308</v>
      </c>
      <c r="W33" s="36">
        <f>'With Loan'!$I$27*'With Loan'!$M33</f>
        <v>158895.94217478632</v>
      </c>
      <c r="X33" s="34">
        <f t="shared" si="4"/>
        <v>5885.0348953624562</v>
      </c>
      <c r="Y33" s="80">
        <f>IF($H$32=$M33,R33+T33-V33-_xlfn.XLOOKUP(M33*12,'30% Down Amortization'!$A$4:$A$363,'30% Down Amortization'!$E$4:$E$363,0,0,1),0)</f>
        <v>0</v>
      </c>
      <c r="Z33" s="70">
        <f t="shared" si="3"/>
        <v>0</v>
      </c>
    </row>
    <row r="34" spans="1:26" x14ac:dyDescent="0.25">
      <c r="A34" s="10"/>
      <c r="B34" s="44" t="s">
        <v>84</v>
      </c>
      <c r="C34" s="44"/>
      <c r="D34" s="50">
        <f>Summary!D8</f>
        <v>495990</v>
      </c>
      <c r="E34" s="45"/>
      <c r="F34" s="43"/>
      <c r="I34" s="45"/>
      <c r="M34" s="30">
        <v>28</v>
      </c>
      <c r="N34" s="34">
        <f t="shared" si="0"/>
        <v>1187470.2433130741</v>
      </c>
      <c r="O34" s="35">
        <f t="shared" si="1"/>
        <v>0.26345675819405107</v>
      </c>
      <c r="P34" s="36">
        <f>'With Loan'!$D$38</f>
        <v>160973.86090076444</v>
      </c>
      <c r="Q34" s="37">
        <f>'With Loan'!$H$31</f>
        <v>3.5000000000000003E-2</v>
      </c>
      <c r="R34" s="38">
        <f>'With Loan'!$D$24</f>
        <v>495990</v>
      </c>
      <c r="S34" s="38">
        <f>'With Loan'!$D$40</f>
        <v>347193</v>
      </c>
      <c r="T34" s="39">
        <f t="shared" si="2"/>
        <v>803589.08898266591</v>
      </c>
      <c r="U34" s="39">
        <f>S34-_xlfn.XLOOKUP($M34*12,'30% Down Amortization'!$A$4:$A$363,'30% Down Amortization'!$E$4:$E$363,0,0,1)</f>
        <v>310070.71348904597</v>
      </c>
      <c r="V34" s="39">
        <f>(R34+T34)*'With Loan'!$H$36</f>
        <v>90970.536228786616</v>
      </c>
      <c r="W34" s="36">
        <f>'With Loan'!$I$27*'With Loan'!$M34</f>
        <v>164780.97707014877</v>
      </c>
      <c r="X34" s="34">
        <f t="shared" si="4"/>
        <v>5885.0348953624562</v>
      </c>
      <c r="Y34" s="80">
        <f>IF($H$32=$M34,R34+T34-V34-_xlfn.XLOOKUP(M34*12,'30% Down Amortization'!$A$4:$A$363,'30% Down Amortization'!$E$4:$E$363,0,0,1),0)</f>
        <v>0</v>
      </c>
      <c r="Z34" s="70">
        <f t="shared" si="3"/>
        <v>0</v>
      </c>
    </row>
    <row r="35" spans="1:26" x14ac:dyDescent="0.25">
      <c r="A35" s="10"/>
      <c r="B35" s="44" t="s">
        <v>8</v>
      </c>
      <c r="C35" s="81">
        <f>Summary!D9</f>
        <v>0.3</v>
      </c>
      <c r="D35" s="52">
        <f>C35*D34</f>
        <v>148797</v>
      </c>
      <c r="E35" s="45"/>
      <c r="F35" s="43"/>
      <c r="G35" s="56" t="s">
        <v>30</v>
      </c>
      <c r="H35" s="58">
        <f>D40-_xlfn.XLOOKUP($H$32*12,'30% Down Amortization'!$A$4:$A$363,'30% Down Amortization'!$E$4:$E$363,0,0,1)</f>
        <v>126090.78676681407</v>
      </c>
      <c r="I35" s="71"/>
      <c r="M35" s="30">
        <v>29</v>
      </c>
      <c r="N35" s="34">
        <f t="shared" si="0"/>
        <v>1253870.2826151119</v>
      </c>
      <c r="O35" s="35">
        <f t="shared" si="1"/>
        <v>0.26859582080675248</v>
      </c>
      <c r="P35" s="36">
        <f>'With Loan'!$D$38</f>
        <v>160973.86090076444</v>
      </c>
      <c r="Q35" s="37">
        <f>'With Loan'!$H$31</f>
        <v>3.5000000000000003E-2</v>
      </c>
      <c r="R35" s="38">
        <f>'With Loan'!$D$24</f>
        <v>495990</v>
      </c>
      <c r="S35" s="38">
        <f>'With Loan'!$D$40</f>
        <v>347193</v>
      </c>
      <c r="T35" s="39">
        <f t="shared" si="2"/>
        <v>849074.35709705902</v>
      </c>
      <c r="U35" s="39">
        <f>S35-_xlfn.XLOOKUP($M35*12,'30% Down Amortization'!$A$4:$A$363,'30% Down Amortization'!$E$4:$E$363,0,0,1)</f>
        <v>328284.41854933574</v>
      </c>
      <c r="V35" s="39">
        <f>(R35+T35)*'With Loan'!$H$36</f>
        <v>94154.504996794145</v>
      </c>
      <c r="W35" s="36">
        <f>'With Loan'!$I$27*'With Loan'!$M35</f>
        <v>170666.01196551122</v>
      </c>
      <c r="X35" s="34">
        <f t="shared" si="4"/>
        <v>5885.0348953624562</v>
      </c>
      <c r="Y35" s="80">
        <f>IF($H$32=$M35,R35+T35-V35-_xlfn.XLOOKUP(M35*12,'30% Down Amortization'!$A$4:$A$363,'30% Down Amortization'!$E$4:$E$363,0,0,1),0)</f>
        <v>0</v>
      </c>
      <c r="Z35" s="70">
        <f t="shared" si="3"/>
        <v>0</v>
      </c>
    </row>
    <row r="36" spans="1:26" x14ac:dyDescent="0.25">
      <c r="A36" s="10"/>
      <c r="B36" s="44" t="s">
        <v>85</v>
      </c>
      <c r="C36" s="44"/>
      <c r="D36" s="52">
        <f>'Closing Costs'!C28</f>
        <v>12176.860900764452</v>
      </c>
      <c r="E36" s="60"/>
      <c r="F36" s="43"/>
      <c r="G36" s="44" t="s">
        <v>31</v>
      </c>
      <c r="H36" s="51">
        <v>7.0000000000000007E-2</v>
      </c>
      <c r="I36" s="45"/>
      <c r="M36" s="30">
        <v>30</v>
      </c>
      <c r="N36" s="34">
        <f t="shared" si="0"/>
        <v>1322445.7437846477</v>
      </c>
      <c r="O36" s="35">
        <f t="shared" si="1"/>
        <v>0.27384275028351668</v>
      </c>
      <c r="P36" s="36">
        <f>'With Loan'!$D$38</f>
        <v>160973.86090076444</v>
      </c>
      <c r="Q36" s="37">
        <f>'With Loan'!$H$31</f>
        <v>3.5000000000000003E-2</v>
      </c>
      <c r="R36" s="38">
        <f>'With Loan'!$D$24</f>
        <v>495990</v>
      </c>
      <c r="S36" s="38">
        <f>'With Loan'!$D$40</f>
        <v>347193</v>
      </c>
      <c r="T36" s="39">
        <f t="shared" si="2"/>
        <v>896151.60959545616</v>
      </c>
      <c r="U36" s="39">
        <f>S36-_xlfn.XLOOKUP($M36*12,'30% Down Amortization'!$A$4:$A$363,'30% Down Amortization'!$E$4:$E$363,0,0,1)</f>
        <v>347192.99999999971</v>
      </c>
      <c r="V36" s="39">
        <f>(R36+T36)*'With Loan'!$H$36</f>
        <v>97449.912671681945</v>
      </c>
      <c r="W36" s="36">
        <f>'With Loan'!$I$27*'With Loan'!$M36</f>
        <v>176551.0468608737</v>
      </c>
      <c r="X36" s="34">
        <f t="shared" si="4"/>
        <v>5885.0348953624562</v>
      </c>
      <c r="Y36" s="80">
        <f>IF($H$32=$M36,R36+T36-V36-_xlfn.XLOOKUP(M36*12,'30% Down Amortization'!$A$4:$A$363,'30% Down Amortization'!$E$4:$E$363,0,0,1),0)</f>
        <v>0</v>
      </c>
      <c r="Z36" s="70">
        <f t="shared" si="3"/>
        <v>0</v>
      </c>
    </row>
    <row r="37" spans="1:26" x14ac:dyDescent="0.25">
      <c r="A37" s="10"/>
      <c r="B37" s="44" t="s">
        <v>9</v>
      </c>
      <c r="C37" s="44"/>
      <c r="D37" s="50">
        <v>0</v>
      </c>
      <c r="E37" s="45"/>
      <c r="F37" s="43"/>
      <c r="G37" s="44" t="s">
        <v>32</v>
      </c>
      <c r="H37" s="52">
        <f>(D34+H33)*$H$36</f>
        <v>58166.938659533451</v>
      </c>
      <c r="I37" s="45"/>
      <c r="N37" s="34"/>
      <c r="Z37" s="70"/>
    </row>
    <row r="38" spans="1:26" x14ac:dyDescent="0.25">
      <c r="A38" s="10"/>
      <c r="B38" s="56" t="s">
        <v>2</v>
      </c>
      <c r="C38" s="56"/>
      <c r="D38" s="61">
        <f>SUM(D35:D37)</f>
        <v>160973.86090076444</v>
      </c>
      <c r="E38" s="45"/>
      <c r="F38" s="43"/>
      <c r="G38" s="56" t="s">
        <v>28</v>
      </c>
      <c r="H38" s="64">
        <f>H32*I27</f>
        <v>88275.52343043685</v>
      </c>
      <c r="I38" s="45"/>
      <c r="Z38" s="70"/>
    </row>
    <row r="39" spans="1:26" ht="18" x14ac:dyDescent="0.25">
      <c r="A39" s="10"/>
      <c r="B39" s="46" t="s">
        <v>10</v>
      </c>
      <c r="C39" s="46"/>
      <c r="D39" s="48" t="s">
        <v>11</v>
      </c>
      <c r="E39" s="48" t="s">
        <v>12</v>
      </c>
      <c r="F39" s="43"/>
      <c r="G39" s="56" t="s">
        <v>3</v>
      </c>
      <c r="H39" s="58">
        <f>H38+H33+H35-H37</f>
        <v>491165.63810248097</v>
      </c>
      <c r="I39" s="45"/>
      <c r="Z39" s="70"/>
    </row>
    <row r="40" spans="1:26" x14ac:dyDescent="0.25">
      <c r="A40" s="10"/>
      <c r="B40" s="44" t="s">
        <v>13</v>
      </c>
      <c r="C40" s="44"/>
      <c r="D40" s="52">
        <f>D34-D35</f>
        <v>347193</v>
      </c>
      <c r="E40" s="45"/>
      <c r="F40" s="43"/>
      <c r="I40" s="45"/>
      <c r="Z40" s="70"/>
    </row>
    <row r="41" spans="1:26" x14ac:dyDescent="0.25">
      <c r="A41" s="10"/>
      <c r="B41" s="44" t="s">
        <v>82</v>
      </c>
      <c r="C41" s="44"/>
      <c r="D41" s="63">
        <f>Summary!D10</f>
        <v>3.7499999999999999E-2</v>
      </c>
      <c r="E41" s="45"/>
      <c r="F41" s="43"/>
      <c r="G41" s="56" t="s">
        <v>120</v>
      </c>
      <c r="H41" s="65">
        <f>((H38/D38)/H32)</f>
        <v>3.655894728766184E-2</v>
      </c>
      <c r="I41" s="45"/>
      <c r="Z41" s="70"/>
    </row>
    <row r="42" spans="1:26" x14ac:dyDescent="0.25">
      <c r="A42" s="10"/>
      <c r="B42" s="44" t="s">
        <v>14</v>
      </c>
      <c r="C42" s="44"/>
      <c r="D42" s="55">
        <v>30</v>
      </c>
      <c r="E42" s="45"/>
      <c r="F42" s="43"/>
      <c r="G42" s="56" t="s">
        <v>121</v>
      </c>
      <c r="H42" s="65">
        <f>((I28*H32)/D38)/H32</f>
        <v>5.2437301609893683E-2</v>
      </c>
      <c r="I42" s="45"/>
      <c r="Z42" s="70"/>
    </row>
    <row r="43" spans="1:26" x14ac:dyDescent="0.25">
      <c r="A43" s="10"/>
      <c r="B43" s="56" t="s">
        <v>15</v>
      </c>
      <c r="C43" s="56"/>
      <c r="D43" s="61">
        <f>-PMT(D41/12,D42*12,$D$40,0,0)</f>
        <v>1607.9049158470175</v>
      </c>
      <c r="E43" s="59">
        <f>D43*12</f>
        <v>19294.858990164212</v>
      </c>
      <c r="F43" s="43"/>
      <c r="G43" s="56" t="s">
        <v>4</v>
      </c>
      <c r="H43" s="65">
        <f>H39/D38/H32</f>
        <v>0.20341424185436327</v>
      </c>
      <c r="I43" s="45"/>
    </row>
    <row r="44" spans="1:26" ht="18" x14ac:dyDescent="0.25">
      <c r="A44" s="10"/>
      <c r="B44" s="46" t="s">
        <v>116</v>
      </c>
      <c r="C44" s="46"/>
      <c r="D44" s="48" t="s">
        <v>11</v>
      </c>
      <c r="E44" s="48" t="s">
        <v>12</v>
      </c>
      <c r="F44" s="43"/>
      <c r="G44" s="56" t="s">
        <v>124</v>
      </c>
      <c r="H44" s="65">
        <f>IRR(Z6:Z36)</f>
        <v>0.10815371623061054</v>
      </c>
      <c r="I44" s="45"/>
    </row>
    <row r="45" spans="1:26" x14ac:dyDescent="0.25">
      <c r="A45" s="10"/>
      <c r="B45" s="44" t="s">
        <v>16</v>
      </c>
      <c r="C45" s="44"/>
      <c r="D45" s="52">
        <f>D43</f>
        <v>1607.9049158470175</v>
      </c>
      <c r="E45" s="53">
        <f>E43</f>
        <v>19294.858990164212</v>
      </c>
      <c r="F45" s="43"/>
      <c r="G45" s="56" t="s">
        <v>5</v>
      </c>
      <c r="H45" s="65">
        <f>(I25-E55+E45)/D34</f>
        <v>5.0766938618775917E-2</v>
      </c>
    </row>
    <row r="46" spans="1:26" x14ac:dyDescent="0.25">
      <c r="A46" s="10"/>
      <c r="B46" s="44" t="s">
        <v>17</v>
      </c>
      <c r="C46" s="82">
        <v>2.0030539999999999E-2</v>
      </c>
      <c r="D46" s="52">
        <f>C46*0.9*D34/12</f>
        <v>745.12106509500006</v>
      </c>
      <c r="E46" s="53">
        <f>D46*12</f>
        <v>8941.4527811400003</v>
      </c>
      <c r="F46" s="43"/>
      <c r="G46" s="10"/>
      <c r="H46" s="10"/>
      <c r="I46" s="10"/>
    </row>
    <row r="47" spans="1:26" ht="18" x14ac:dyDescent="0.25">
      <c r="A47" s="10"/>
      <c r="B47" s="44" t="s">
        <v>19</v>
      </c>
      <c r="C47" s="44"/>
      <c r="D47" s="50">
        <v>105</v>
      </c>
      <c r="E47" s="53">
        <f>D47*12</f>
        <v>1260</v>
      </c>
      <c r="F47" s="43"/>
      <c r="G47" s="46" t="s">
        <v>33</v>
      </c>
      <c r="H47" s="48"/>
      <c r="I47" s="48"/>
    </row>
    <row r="48" spans="1:26" x14ac:dyDescent="0.25">
      <c r="A48" s="10"/>
      <c r="B48" s="56" t="s">
        <v>128</v>
      </c>
      <c r="C48" s="44"/>
      <c r="D48" s="20">
        <f>SUM(D45:D47)</f>
        <v>2458.0259809420177</v>
      </c>
      <c r="E48" s="20">
        <f>SUM(E45:E47)</f>
        <v>29496.311771304212</v>
      </c>
      <c r="F48" s="43"/>
      <c r="G48" s="56" t="s">
        <v>87</v>
      </c>
      <c r="H48" s="66"/>
      <c r="I48" s="58">
        <f>(D34-68000)/27.5</f>
        <v>15563.272727272728</v>
      </c>
    </row>
    <row r="49" spans="1:9" x14ac:dyDescent="0.25">
      <c r="A49" s="10"/>
      <c r="B49" s="10"/>
      <c r="C49" s="10"/>
      <c r="D49" s="17"/>
      <c r="E49" s="16"/>
      <c r="F49" s="43"/>
      <c r="G49" s="10"/>
      <c r="H49" s="10"/>
      <c r="I49" s="10"/>
    </row>
    <row r="50" spans="1:9" ht="18" x14ac:dyDescent="0.25">
      <c r="A50" s="10"/>
      <c r="B50" s="44" t="s">
        <v>127</v>
      </c>
      <c r="C50" s="44"/>
      <c r="D50" s="50">
        <f>1000/12</f>
        <v>83.333333333333329</v>
      </c>
      <c r="E50" s="53">
        <f>D50*12</f>
        <v>1000</v>
      </c>
      <c r="F50" s="43"/>
      <c r="G50" s="46" t="s">
        <v>34</v>
      </c>
      <c r="H50" s="48"/>
      <c r="I50" s="48"/>
    </row>
    <row r="51" spans="1:9" x14ac:dyDescent="0.25">
      <c r="A51" s="10"/>
      <c r="B51" s="44" t="s">
        <v>18</v>
      </c>
      <c r="C51" s="81">
        <v>0.06</v>
      </c>
      <c r="D51" s="52">
        <f>(H25-D53)*C51</f>
        <v>206.60999999999999</v>
      </c>
      <c r="E51" s="53">
        <f>D51*12</f>
        <v>2479.3199999999997</v>
      </c>
      <c r="F51" s="43"/>
      <c r="G51" s="44" t="s">
        <v>35</v>
      </c>
      <c r="H51" s="44"/>
      <c r="I51" s="67">
        <v>6</v>
      </c>
    </row>
    <row r="52" spans="1:9" x14ac:dyDescent="0.25">
      <c r="A52" s="10"/>
      <c r="B52" s="44" t="s">
        <v>129</v>
      </c>
      <c r="C52" s="81">
        <v>0.5</v>
      </c>
      <c r="D52" s="52">
        <f>(C52*H25)/18</f>
        <v>98.611111111111114</v>
      </c>
      <c r="E52" s="53">
        <f>D52*12</f>
        <v>1183.3333333333335</v>
      </c>
      <c r="F52" s="43"/>
      <c r="G52" s="56" t="s">
        <v>34</v>
      </c>
      <c r="H52" s="68"/>
      <c r="I52" s="58">
        <f>MIN((D55-D51-D53),3500)*I51</f>
        <v>16478.822552318776</v>
      </c>
    </row>
    <row r="53" spans="1:9" x14ac:dyDescent="0.25">
      <c r="A53" s="10"/>
      <c r="B53" s="44" t="s">
        <v>20</v>
      </c>
      <c r="C53" s="81">
        <v>0.03</v>
      </c>
      <c r="D53" s="52">
        <f>C53*H25</f>
        <v>106.5</v>
      </c>
      <c r="E53" s="53">
        <f>D53*12</f>
        <v>1278</v>
      </c>
      <c r="F53" s="43"/>
      <c r="G53" s="10"/>
      <c r="H53" s="10"/>
      <c r="I53" s="10"/>
    </row>
    <row r="54" spans="1:9" x14ac:dyDescent="0.25">
      <c r="A54" s="10"/>
      <c r="B54" s="44" t="s">
        <v>21</v>
      </c>
      <c r="C54" s="81">
        <v>0.03</v>
      </c>
      <c r="D54" s="52">
        <f>C54*H25</f>
        <v>106.5</v>
      </c>
      <c r="E54" s="53">
        <f>D54*12</f>
        <v>1278</v>
      </c>
      <c r="F54" s="43"/>
      <c r="G54" s="10"/>
      <c r="H54" s="10"/>
      <c r="I54" s="10"/>
    </row>
    <row r="55" spans="1:9" x14ac:dyDescent="0.25">
      <c r="A55" s="10"/>
      <c r="B55" s="56" t="s">
        <v>117</v>
      </c>
      <c r="C55" s="56"/>
      <c r="D55" s="58">
        <f>SUM(D48:D54)</f>
        <v>3059.5804253864626</v>
      </c>
      <c r="E55" s="58">
        <f>SUM(E48:E54)</f>
        <v>36714.965104637544</v>
      </c>
      <c r="F55" s="43"/>
      <c r="G55" s="10"/>
      <c r="H55" s="10"/>
      <c r="I55" s="10"/>
    </row>
    <row r="56" spans="1:9" x14ac:dyDescent="0.25">
      <c r="A56" s="10"/>
      <c r="B56" s="10"/>
      <c r="C56" s="10"/>
      <c r="D56" s="17"/>
      <c r="E56" s="16"/>
      <c r="F56" s="43"/>
      <c r="G56" s="10"/>
      <c r="H56" s="10"/>
      <c r="I56" s="10"/>
    </row>
    <row r="57" spans="1:9" x14ac:dyDescent="0.25">
      <c r="A57" s="10"/>
      <c r="B57" s="44"/>
      <c r="C57" s="44"/>
      <c r="D57" s="50"/>
      <c r="E57" s="53"/>
      <c r="F57" s="43"/>
      <c r="G57" s="10"/>
      <c r="H57" s="10"/>
      <c r="I57" s="10"/>
    </row>
    <row r="58" spans="1:9" x14ac:dyDescent="0.25">
      <c r="A58" s="10"/>
      <c r="B58" s="18" t="s">
        <v>69</v>
      </c>
      <c r="C58" s="18"/>
      <c r="D58" s="17"/>
      <c r="E58" s="16"/>
      <c r="F58" s="10"/>
      <c r="G58" s="10"/>
      <c r="H58" s="10"/>
      <c r="I58" s="10"/>
    </row>
    <row r="59" spans="1:9" ht="55.9" customHeight="1" x14ac:dyDescent="0.25">
      <c r="A59" s="10"/>
      <c r="B59" s="109" t="s">
        <v>70</v>
      </c>
      <c r="C59" s="109"/>
      <c r="D59" s="109"/>
      <c r="E59" s="109"/>
      <c r="F59" s="109"/>
      <c r="G59" s="109"/>
      <c r="H59" s="109"/>
      <c r="I59" s="109"/>
    </row>
    <row r="60" spans="1:9" ht="18" x14ac:dyDescent="0.25">
      <c r="A60" s="10"/>
      <c r="B60" s="108" t="s">
        <v>71</v>
      </c>
      <c r="C60" s="108"/>
      <c r="D60" s="108"/>
      <c r="E60" s="108"/>
      <c r="F60" s="108"/>
      <c r="G60" s="108"/>
      <c r="H60" s="108"/>
      <c r="I60" s="108"/>
    </row>
    <row r="61" spans="1:9" x14ac:dyDescent="0.25">
      <c r="F61" s="10"/>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sheetData>
  <sheetProtection selectLockedCells="1"/>
  <mergeCells count="6">
    <mergeCell ref="B60:I60"/>
    <mergeCell ref="B3:I3"/>
    <mergeCell ref="B1:I1"/>
    <mergeCell ref="B2:I2"/>
    <mergeCell ref="B4:I4"/>
    <mergeCell ref="B59:I59"/>
  </mergeCells>
  <pageMargins left="0.7" right="0.7" top="0.75" bottom="0.75" header="0.3" footer="0.3"/>
  <pageSetup scale="5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8CF3207-B10D-4B80-8F02-1AE1D0E2196C}">
          <x14:formula1>
            <xm:f>DAta!$H$2:$H$7</xm:f>
          </x14:formula1>
          <xm:sqref>I51</xm:sqref>
        </x14:dataValidation>
        <x14:dataValidation type="list" allowBlank="1" showInputMessage="1" showErrorMessage="1" xr:uid="{6C9A5CE5-8D98-4AF3-AEA5-695A66A1EFAD}">
          <x14:formula1>
            <xm:f>DAta!$F$2:$F$12</xm:f>
          </x14:formula1>
          <xm:sqref>C51</xm:sqref>
        </x14:dataValidation>
        <x14:dataValidation type="list" allowBlank="1" showInputMessage="1" showErrorMessage="1" xr:uid="{C774F02B-450C-43D8-B02E-BCEC7076DE27}">
          <x14:formula1>
            <xm:f>DAta!$H$2:$H$31</xm:f>
          </x14:formula1>
          <xm:sqref>H32</xm:sqref>
        </x14:dataValidation>
        <x14:dataValidation type="list" allowBlank="1" showInputMessage="1" showErrorMessage="1" xr:uid="{9B0933B4-BBD2-4ED5-9A4E-2C7FD8C4978D}">
          <x14:formula1>
            <xm:f>DAta!$E$2:$E$11</xm:f>
          </x14:formula1>
          <xm:sqref>C54</xm:sqref>
        </x14:dataValidation>
        <x14:dataValidation type="list" allowBlank="1" showInputMessage="1" showErrorMessage="1" xr:uid="{DC98E49C-C163-443E-86C2-D08DE089F76A}">
          <x14:formula1>
            <xm:f>DAta!$C$2:$C$11</xm:f>
          </x14:formula1>
          <xm:sqref>C53</xm:sqref>
        </x14:dataValidation>
        <x14:dataValidation type="list" allowBlank="1" showInputMessage="1" showErrorMessage="1" xr:uid="{F6E919F1-45C0-410C-AAAD-2EF75E7F6EAE}">
          <x14:formula1>
            <xm:f>DAta!$A$2:$A$23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D3F3-A1E6-45C1-8DCD-77FB45BCDC03}">
  <sheetPr>
    <pageSetUpPr fitToPage="1"/>
  </sheetPr>
  <dimension ref="A1:Z69"/>
  <sheetViews>
    <sheetView zoomScale="85" zoomScaleNormal="85" workbookViewId="0">
      <selection activeCell="B1" sqref="B1:I1"/>
    </sheetView>
  </sheetViews>
  <sheetFormatPr defaultRowHeight="15" x14ac:dyDescent="0.25"/>
  <cols>
    <col min="1" max="1" width="3" customWidth="1"/>
    <col min="2" max="2" width="50.28515625" bestFit="1" customWidth="1"/>
    <col min="3" max="3" width="12.5703125" customWidth="1"/>
    <col min="4" max="4" width="12.7109375" style="8" customWidth="1"/>
    <col min="5" max="5" width="13.140625" style="9" customWidth="1"/>
    <col min="6" max="6" width="5.28515625" customWidth="1"/>
    <col min="7" max="7" width="54.4257812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3.42578125" style="30" hidden="1" customWidth="1"/>
    <col min="17" max="17" width="17.57031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6" width="11" bestFit="1" customWidth="1"/>
  </cols>
  <sheetData>
    <row r="1" spans="1:23" x14ac:dyDescent="0.25">
      <c r="A1" s="10"/>
      <c r="B1" s="110"/>
      <c r="C1" s="110"/>
      <c r="D1" s="110"/>
      <c r="E1" s="110"/>
      <c r="F1" s="110"/>
      <c r="G1" s="110"/>
      <c r="H1" s="110"/>
      <c r="I1" s="110"/>
    </row>
    <row r="2" spans="1:23" x14ac:dyDescent="0.25">
      <c r="A2" s="10"/>
      <c r="B2" s="110"/>
      <c r="C2" s="110"/>
      <c r="D2" s="110"/>
      <c r="E2" s="110"/>
      <c r="F2" s="110"/>
      <c r="G2" s="110"/>
      <c r="H2" s="110"/>
      <c r="I2" s="110"/>
    </row>
    <row r="3" spans="1:23" ht="23.25" customHeight="1" x14ac:dyDescent="0.25">
      <c r="A3" s="10"/>
      <c r="B3" s="110"/>
      <c r="C3" s="110"/>
      <c r="D3" s="110"/>
      <c r="E3" s="110"/>
      <c r="F3" s="110"/>
      <c r="G3" s="110"/>
      <c r="H3" s="110"/>
      <c r="I3" s="110"/>
    </row>
    <row r="4" spans="1:23" ht="22.5" x14ac:dyDescent="0.3">
      <c r="A4" s="10"/>
      <c r="B4" s="111" t="s">
        <v>72</v>
      </c>
      <c r="C4" s="111"/>
      <c r="D4" s="111"/>
      <c r="E4" s="111"/>
      <c r="F4" s="111"/>
      <c r="G4" s="111"/>
      <c r="H4" s="111"/>
      <c r="I4" s="111"/>
      <c r="T4" s="39"/>
    </row>
    <row r="5" spans="1:23"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78</v>
      </c>
    </row>
    <row r="6" spans="1:23" ht="14.25" customHeight="1" x14ac:dyDescent="0.25">
      <c r="A6" s="10"/>
      <c r="B6" s="43"/>
      <c r="C6" s="43"/>
      <c r="D6" s="44"/>
      <c r="E6" s="45"/>
      <c r="F6" s="43"/>
      <c r="G6" s="43"/>
      <c r="H6" s="43"/>
      <c r="I6" s="43"/>
      <c r="M6" s="30">
        <v>0</v>
      </c>
    </row>
    <row r="7" spans="1:23" ht="14.25" customHeight="1" x14ac:dyDescent="0.25">
      <c r="A7" s="10"/>
      <c r="B7" s="43"/>
      <c r="C7" s="43"/>
      <c r="D7" s="44"/>
      <c r="E7" s="45"/>
      <c r="F7" s="43"/>
      <c r="G7" s="43"/>
      <c r="H7" s="43"/>
      <c r="I7" s="43"/>
      <c r="M7" s="30">
        <v>1</v>
      </c>
      <c r="N7" s="34">
        <f>T7+U7-V7</f>
        <v>-10505.75713923556</v>
      </c>
      <c r="O7" s="35">
        <f t="shared" ref="O7:O32" si="0">N7/P7/M7</f>
        <v>-0.35568714173899446</v>
      </c>
      <c r="P7" s="36">
        <f>'Owner Occupier'!$D$38</f>
        <v>29536.510900764453</v>
      </c>
      <c r="Q7" s="37">
        <f>'Owner Occupier'!$H$30</f>
        <v>3.5000000000000003E-2</v>
      </c>
      <c r="R7" s="38">
        <f>'Owner Occupier'!$D$24</f>
        <v>495990</v>
      </c>
      <c r="S7" s="38">
        <f>'Owner Occupier'!$D$40</f>
        <v>478630.35</v>
      </c>
      <c r="T7" s="39">
        <f t="shared" ref="T7:T36" si="1">$R$7*(1+Q7)^M7-$R$7</f>
        <v>17359.649999999965</v>
      </c>
      <c r="U7" s="39">
        <f>S7-_xlfn.XLOOKUP($M7*12,'FHA Amotization'!$A$4:$A$363,'FHA Amotization'!$E$4:$E$363,0,0,1)</f>
        <v>8069.0683607644751</v>
      </c>
      <c r="V7" s="39">
        <f>(R7+T7)*'Owner Occupier'!$H$35</f>
        <v>35934.4755</v>
      </c>
      <c r="W7" s="36">
        <f t="shared" ref="W7:W36" si="2">$I$26*M7</f>
        <v>-22462.238792366879</v>
      </c>
    </row>
    <row r="8" spans="1:23" ht="14.25" customHeight="1" x14ac:dyDescent="0.25">
      <c r="A8" s="10"/>
      <c r="B8" s="43"/>
      <c r="C8" s="43"/>
      <c r="D8" s="44"/>
      <c r="E8" s="45"/>
      <c r="F8" s="43"/>
      <c r="G8" s="43"/>
      <c r="H8" s="43"/>
      <c r="I8" s="43"/>
      <c r="M8" s="30">
        <v>2</v>
      </c>
      <c r="N8" s="34">
        <f t="shared" ref="N8:N36" si="3">T8+U8-V8</f>
        <v>14622.537324530604</v>
      </c>
      <c r="O8" s="35">
        <f t="shared" si="0"/>
        <v>0.24753325424351574</v>
      </c>
      <c r="P8" s="36">
        <f>'Owner Occupier'!$D$38</f>
        <v>29536.510900764453</v>
      </c>
      <c r="Q8" s="37">
        <f>'Owner Occupier'!$H$30</f>
        <v>3.5000000000000003E-2</v>
      </c>
      <c r="R8" s="38">
        <f>'Owner Occupier'!$D$24</f>
        <v>495990</v>
      </c>
      <c r="S8" s="38">
        <f>'Owner Occupier'!$D$40</f>
        <v>478630.35</v>
      </c>
      <c r="T8" s="39">
        <f t="shared" si="1"/>
        <v>35326.887749999994</v>
      </c>
      <c r="U8" s="39">
        <f>S8-_xlfn.XLOOKUP($M8*12,'FHA Amotization'!$A$4:$A$363,'FHA Amotization'!$E$4:$E$363,0,0,1)</f>
        <v>16487.831717030611</v>
      </c>
      <c r="V8" s="39">
        <f>(R8+T8)*'Owner Occupier'!$H$35</f>
        <v>37192.182142500002</v>
      </c>
      <c r="W8" s="36">
        <f t="shared" si="2"/>
        <v>-44924.477584733759</v>
      </c>
    </row>
    <row r="9" spans="1:23" ht="14.25" customHeight="1" x14ac:dyDescent="0.25">
      <c r="A9" s="10"/>
      <c r="B9" s="43"/>
      <c r="C9" s="43"/>
      <c r="D9" s="44"/>
      <c r="E9" s="45"/>
      <c r="F9" s="43"/>
      <c r="G9" s="43"/>
      <c r="H9" s="43"/>
      <c r="I9" s="43"/>
      <c r="M9" s="30">
        <v>3</v>
      </c>
      <c r="N9" s="34">
        <f t="shared" si="3"/>
        <v>40700.515355070784</v>
      </c>
      <c r="O9" s="35">
        <f t="shared" si="0"/>
        <v>0.4593243425830344</v>
      </c>
      <c r="P9" s="36">
        <f>'Owner Occupier'!$D$38</f>
        <v>29536.510900764453</v>
      </c>
      <c r="Q9" s="37">
        <f>'Owner Occupier'!$H$30</f>
        <v>3.5000000000000003E-2</v>
      </c>
      <c r="R9" s="38">
        <f>'Owner Occupier'!$D$24</f>
        <v>495990</v>
      </c>
      <c r="S9" s="38">
        <f>'Owner Occupier'!$D$40</f>
        <v>478630.35</v>
      </c>
      <c r="T9" s="39">
        <f t="shared" si="1"/>
        <v>53922.978821249912</v>
      </c>
      <c r="U9" s="39">
        <f>S9-_xlfn.XLOOKUP($M9*12,'FHA Amotization'!$A$4:$A$363,'FHA Amotization'!$E$4:$E$363,0,0,1)</f>
        <v>25271.445051308372</v>
      </c>
      <c r="V9" s="39">
        <f>(R9+T9)*'Owner Occupier'!$H$35</f>
        <v>38493.9085174875</v>
      </c>
      <c r="W9" s="36">
        <f t="shared" si="2"/>
        <v>-67386.716377100645</v>
      </c>
    </row>
    <row r="10" spans="1:23" ht="14.25" customHeight="1" x14ac:dyDescent="0.25">
      <c r="A10" s="10"/>
      <c r="B10" s="43"/>
      <c r="C10" s="43"/>
      <c r="D10" s="44"/>
      <c r="E10" s="45"/>
      <c r="F10" s="43"/>
      <c r="G10" s="43"/>
      <c r="H10" s="43"/>
      <c r="I10" s="43"/>
      <c r="M10" s="30">
        <v>4</v>
      </c>
      <c r="N10" s="34">
        <f t="shared" si="3"/>
        <v>67764.457892834384</v>
      </c>
      <c r="O10" s="35">
        <f t="shared" si="0"/>
        <v>0.57356518954207725</v>
      </c>
      <c r="P10" s="36">
        <f>'Owner Occupier'!$D$38</f>
        <v>29536.510900764453</v>
      </c>
      <c r="Q10" s="37">
        <f>'Owner Occupier'!$H$30</f>
        <v>3.5000000000000003E-2</v>
      </c>
      <c r="R10" s="38">
        <f>'Owner Occupier'!$D$24</f>
        <v>495990</v>
      </c>
      <c r="S10" s="38">
        <f>'Owner Occupier'!$D$40</f>
        <v>478630.35</v>
      </c>
      <c r="T10" s="39">
        <f t="shared" si="1"/>
        <v>73169.933079993585</v>
      </c>
      <c r="U10" s="39">
        <f>S10-_xlfn.XLOOKUP($M10*12,'FHA Amotization'!$A$4:$A$363,'FHA Amotization'!$E$4:$E$363,0,0,1)</f>
        <v>34435.720128440356</v>
      </c>
      <c r="V10" s="39">
        <f>(R10+T10)*'Owner Occupier'!$H$35</f>
        <v>39841.195315599558</v>
      </c>
      <c r="W10" s="36">
        <f t="shared" si="2"/>
        <v>-89848.955169467517</v>
      </c>
    </row>
    <row r="11" spans="1:23" ht="14.25" customHeight="1" x14ac:dyDescent="0.25">
      <c r="A11" s="10"/>
      <c r="B11" s="43"/>
      <c r="C11" s="43"/>
      <c r="D11" s="44"/>
      <c r="E11" s="45"/>
      <c r="F11" s="43"/>
      <c r="G11" s="43"/>
      <c r="H11" s="43"/>
      <c r="I11" s="43"/>
      <c r="M11" s="30">
        <v>5</v>
      </c>
      <c r="N11" s="34">
        <f t="shared" si="3"/>
        <v>95852.047545196052</v>
      </c>
      <c r="O11" s="35">
        <f t="shared" si="0"/>
        <v>0.64904109945305177</v>
      </c>
      <c r="P11" s="36">
        <f>'Owner Occupier'!$D$38</f>
        <v>29536.510900764453</v>
      </c>
      <c r="Q11" s="37">
        <f>'Owner Occupier'!$H$30</f>
        <v>3.5000000000000003E-2</v>
      </c>
      <c r="R11" s="38">
        <f>'Owner Occupier'!$D$24</f>
        <v>495990</v>
      </c>
      <c r="S11" s="38">
        <f>'Owner Occupier'!$D$40</f>
        <v>478630.35</v>
      </c>
      <c r="T11" s="39">
        <f t="shared" si="1"/>
        <v>93090.530737793306</v>
      </c>
      <c r="U11" s="39">
        <f>S11-_xlfn.XLOOKUP($M11*12,'FHA Amotization'!$A$4:$A$363,'FHA Amotization'!$E$4:$E$363,0,0,1)</f>
        <v>43997.153959048272</v>
      </c>
      <c r="V11" s="39">
        <f>(R11+T11)*'Owner Occupier'!$H$35</f>
        <v>41235.637151645533</v>
      </c>
      <c r="W11" s="36">
        <f t="shared" si="2"/>
        <v>-112311.19396183439</v>
      </c>
    </row>
    <row r="12" spans="1:23" ht="14.25" customHeight="1" x14ac:dyDescent="0.25">
      <c r="A12" s="10"/>
      <c r="B12" s="43"/>
      <c r="C12" s="43"/>
      <c r="D12" s="44"/>
      <c r="E12" s="45"/>
      <c r="F12" s="43"/>
      <c r="G12" s="43"/>
      <c r="H12" s="43"/>
      <c r="I12" s="43"/>
      <c r="M12" s="30">
        <v>6</v>
      </c>
      <c r="N12" s="34">
        <f t="shared" si="3"/>
        <v>125002.42335818328</v>
      </c>
      <c r="O12" s="35">
        <f t="shared" si="0"/>
        <v>0.70535539205562259</v>
      </c>
      <c r="P12" s="36">
        <f>'Owner Occupier'!$D$38</f>
        <v>29536.510900764453</v>
      </c>
      <c r="Q12" s="37">
        <f>'Owner Occupier'!$H$30</f>
        <v>3.5000000000000003E-2</v>
      </c>
      <c r="R12" s="38">
        <f>'Owner Occupier'!$D$24</f>
        <v>495990</v>
      </c>
      <c r="S12" s="38">
        <f>'Owner Occupier'!$D$40</f>
        <v>478630.35</v>
      </c>
      <c r="T12" s="39">
        <f t="shared" si="1"/>
        <v>113708.34931361605</v>
      </c>
      <c r="U12" s="39">
        <f>S12-_xlfn.XLOOKUP($M12*12,'FHA Amotization'!$A$4:$A$363,'FHA Amotization'!$E$4:$E$363,0,0,1)</f>
        <v>53972.958496520354</v>
      </c>
      <c r="V12" s="39">
        <f>(R12+T12)*'Owner Occupier'!$H$35</f>
        <v>42678.884451953127</v>
      </c>
      <c r="W12" s="36">
        <f t="shared" si="2"/>
        <v>-134773.43275420129</v>
      </c>
    </row>
    <row r="13" spans="1:23" ht="14.25" customHeight="1" x14ac:dyDescent="0.25">
      <c r="A13" s="10"/>
      <c r="B13" s="43"/>
      <c r="C13" s="43"/>
      <c r="D13" s="44"/>
      <c r="E13" s="45"/>
      <c r="F13" s="43"/>
      <c r="G13" s="43"/>
      <c r="H13" s="43"/>
      <c r="I13" s="43"/>
      <c r="M13" s="30">
        <v>7</v>
      </c>
      <c r="N13" s="34">
        <f t="shared" si="3"/>
        <v>155256.23775281865</v>
      </c>
      <c r="O13" s="35">
        <f t="shared" si="0"/>
        <v>0.75091680972863006</v>
      </c>
      <c r="P13" s="36">
        <f>'Owner Occupier'!$D$38</f>
        <v>29536.510900764453</v>
      </c>
      <c r="Q13" s="37">
        <f>'Owner Occupier'!$H$30</f>
        <v>3.5000000000000003E-2</v>
      </c>
      <c r="R13" s="38">
        <f>'Owner Occupier'!$D$24</f>
        <v>495990</v>
      </c>
      <c r="S13" s="38">
        <f>'Owner Occupier'!$D$40</f>
        <v>478630.35</v>
      </c>
      <c r="T13" s="39">
        <f t="shared" si="1"/>
        <v>135047.79153959255</v>
      </c>
      <c r="U13" s="39">
        <f>S13-_xlfn.XLOOKUP($M13*12,'FHA Amotization'!$A$4:$A$363,'FHA Amotization'!$E$4:$E$363,0,0,1)</f>
        <v>64381.091620997584</v>
      </c>
      <c r="V13" s="39">
        <f>(R13+T13)*'Owner Occupier'!$H$35</f>
        <v>44172.645407771481</v>
      </c>
      <c r="W13" s="36">
        <f t="shared" si="2"/>
        <v>-157235.67154656816</v>
      </c>
    </row>
    <row r="14" spans="1:23" ht="14.25" customHeight="1" x14ac:dyDescent="0.25">
      <c r="A14" s="10"/>
      <c r="B14" s="43"/>
      <c r="C14" s="43"/>
      <c r="D14" s="44"/>
      <c r="E14" s="45"/>
      <c r="F14" s="43"/>
      <c r="G14" s="43"/>
      <c r="H14" s="43"/>
      <c r="I14" s="43"/>
      <c r="M14" s="30">
        <v>8</v>
      </c>
      <c r="N14" s="34">
        <f t="shared" si="3"/>
        <v>186655.71571257082</v>
      </c>
      <c r="O14" s="35">
        <f t="shared" si="0"/>
        <v>0.78993637882487611</v>
      </c>
      <c r="P14" s="36">
        <f>'Owner Occupier'!$D$38</f>
        <v>29536.510900764453</v>
      </c>
      <c r="Q14" s="37">
        <f>'Owner Occupier'!$H$30</f>
        <v>3.5000000000000003E-2</v>
      </c>
      <c r="R14" s="38">
        <f>'Owner Occupier'!$D$24</f>
        <v>495990</v>
      </c>
      <c r="S14" s="38">
        <f>'Owner Occupier'!$D$40</f>
        <v>478630.35</v>
      </c>
      <c r="T14" s="39">
        <f t="shared" si="1"/>
        <v>157134.11424347817</v>
      </c>
      <c r="U14" s="39">
        <f>S14-_xlfn.XLOOKUP($M14*12,'FHA Amotization'!$A$4:$A$363,'FHA Amotization'!$E$4:$E$363,0,0,1)</f>
        <v>75240.289466136135</v>
      </c>
      <c r="V14" s="39">
        <f>(R14+T14)*'Owner Occupier'!$H$35</f>
        <v>45718.687997043475</v>
      </c>
      <c r="W14" s="36">
        <f t="shared" si="2"/>
        <v>-179697.91033893503</v>
      </c>
    </row>
    <row r="15" spans="1:23" ht="14.25" customHeight="1" x14ac:dyDescent="0.25">
      <c r="A15" s="10"/>
      <c r="B15" s="43"/>
      <c r="C15" s="43"/>
      <c r="D15" s="44"/>
      <c r="E15" s="45"/>
      <c r="F15" s="43"/>
      <c r="G15" s="43"/>
      <c r="H15" s="43"/>
      <c r="I15" s="43"/>
      <c r="M15" s="30">
        <v>9</v>
      </c>
      <c r="N15" s="34">
        <f t="shared" si="3"/>
        <v>219244.71631189715</v>
      </c>
      <c r="O15" s="35">
        <f t="shared" si="0"/>
        <v>0.82475970558948952</v>
      </c>
      <c r="P15" s="36">
        <f>'Owner Occupier'!$D$38</f>
        <v>29536.510900764453</v>
      </c>
      <c r="Q15" s="37">
        <f>'Owner Occupier'!$H$30</f>
        <v>3.5000000000000003E-2</v>
      </c>
      <c r="R15" s="38">
        <f>'Owner Occupier'!$D$24</f>
        <v>495990</v>
      </c>
      <c r="S15" s="38">
        <f>'Owner Occupier'!$D$40</f>
        <v>478630.35</v>
      </c>
      <c r="T15" s="39">
        <f t="shared" si="1"/>
        <v>179993.45824199985</v>
      </c>
      <c r="U15" s="39">
        <f>S15-_xlfn.XLOOKUP($M15*12,'FHA Amotization'!$A$4:$A$363,'FHA Amotization'!$E$4:$E$363,0,0,1)</f>
        <v>86570.1001468373</v>
      </c>
      <c r="V15" s="39">
        <f>(R15+T15)*'Owner Occupier'!$H$35</f>
        <v>47318.842076939996</v>
      </c>
      <c r="W15" s="36">
        <f t="shared" si="2"/>
        <v>-202160.14913130191</v>
      </c>
    </row>
    <row r="16" spans="1:23" ht="14.25" customHeight="1" x14ac:dyDescent="0.25">
      <c r="A16" s="10"/>
      <c r="B16" s="43"/>
      <c r="C16" s="43"/>
      <c r="D16" s="44"/>
      <c r="E16" s="45"/>
      <c r="F16" s="43"/>
      <c r="G16" s="43"/>
      <c r="H16" s="43"/>
      <c r="I16" s="43"/>
      <c r="M16" s="30">
        <v>10</v>
      </c>
      <c r="N16" s="34">
        <f t="shared" si="3"/>
        <v>253068.7966794972</v>
      </c>
      <c r="O16" s="35">
        <f t="shared" si="0"/>
        <v>0.85679990277032814</v>
      </c>
      <c r="P16" s="36">
        <f>'Owner Occupier'!$D$38</f>
        <v>29536.510900764453</v>
      </c>
      <c r="Q16" s="37">
        <f>'Owner Occupier'!$H$30</f>
        <v>3.5000000000000003E-2</v>
      </c>
      <c r="R16" s="38">
        <f>'Owner Occupier'!$D$24</f>
        <v>495990</v>
      </c>
      <c r="S16" s="38">
        <f>'Owner Occupier'!$D$40</f>
        <v>478630.35</v>
      </c>
      <c r="T16" s="39">
        <f t="shared" si="1"/>
        <v>203652.87928046985</v>
      </c>
      <c r="U16" s="39">
        <f>S16-_xlfn.XLOOKUP($M16*12,'FHA Amotization'!$A$4:$A$363,'FHA Amotization'!$E$4:$E$363,0,0,1)</f>
        <v>98390.918948660255</v>
      </c>
      <c r="V16" s="39">
        <f>(R16+T16)*'Owner Occupier'!$H$35</f>
        <v>48975.001549632892</v>
      </c>
      <c r="W16" s="36">
        <f t="shared" si="2"/>
        <v>-224622.38792366878</v>
      </c>
    </row>
    <row r="17" spans="1:26" ht="14.25" customHeight="1" x14ac:dyDescent="0.25">
      <c r="A17" s="10"/>
      <c r="B17" s="43"/>
      <c r="C17" s="43"/>
      <c r="D17" s="44"/>
      <c r="E17" s="45"/>
      <c r="F17" s="43"/>
      <c r="G17" s="43"/>
      <c r="H17" s="43"/>
      <c r="I17" s="43"/>
      <c r="M17" s="30">
        <v>11</v>
      </c>
      <c r="N17" s="34">
        <f t="shared" si="3"/>
        <v>288175.27849368018</v>
      </c>
      <c r="O17" s="35">
        <f t="shared" si="0"/>
        <v>0.88696165496164003</v>
      </c>
      <c r="P17" s="36">
        <f>'Owner Occupier'!$D$38</f>
        <v>29536.510900764453</v>
      </c>
      <c r="Q17" s="37">
        <f>'Owner Occupier'!$H$30</f>
        <v>3.5000000000000003E-2</v>
      </c>
      <c r="R17" s="38">
        <f>'Owner Occupier'!$D$24</f>
        <v>495990</v>
      </c>
      <c r="S17" s="38">
        <f>'Owner Occupier'!$D$40</f>
        <v>478630.35</v>
      </c>
      <c r="T17" s="39">
        <f t="shared" si="1"/>
        <v>228140.38005528622</v>
      </c>
      <c r="U17" s="39">
        <f>S17-_xlfn.XLOOKUP($M17*12,'FHA Amotization'!$A$4:$A$363,'FHA Amotization'!$E$4:$E$363,0,0,1)</f>
        <v>110724.02504226397</v>
      </c>
      <c r="V17" s="39">
        <f>(R17+T17)*'Owner Occupier'!$H$35</f>
        <v>50689.126603870041</v>
      </c>
      <c r="W17" s="36">
        <f t="shared" si="2"/>
        <v>-247084.62671603568</v>
      </c>
    </row>
    <row r="18" spans="1:26" ht="14.25" customHeight="1" x14ac:dyDescent="0.25">
      <c r="A18" s="10"/>
      <c r="B18" s="43"/>
      <c r="C18" s="43"/>
      <c r="D18" s="44"/>
      <c r="E18" s="45"/>
      <c r="F18" s="43"/>
      <c r="G18" s="43"/>
      <c r="H18" s="43"/>
      <c r="I18" s="43"/>
      <c r="M18" s="30">
        <v>12</v>
      </c>
      <c r="N18" s="34">
        <f t="shared" si="3"/>
        <v>324613.31711118441</v>
      </c>
      <c r="O18" s="35">
        <f t="shared" si="0"/>
        <v>0.91585325870582912</v>
      </c>
      <c r="P18" s="36">
        <f>'Owner Occupier'!$D$38</f>
        <v>29536.510900764453</v>
      </c>
      <c r="Q18" s="37">
        <f>'Owner Occupier'!$H$30</f>
        <v>3.5000000000000003E-2</v>
      </c>
      <c r="R18" s="38">
        <f>'Owner Occupier'!$D$24</f>
        <v>495990</v>
      </c>
      <c r="S18" s="38">
        <f>'Owner Occupier'!$D$40</f>
        <v>478630.35</v>
      </c>
      <c r="T18" s="39">
        <f t="shared" si="1"/>
        <v>253484.9433572212</v>
      </c>
      <c r="U18" s="39">
        <f>S18-_xlfn.XLOOKUP($M18*12,'FHA Amotization'!$A$4:$A$363,'FHA Amotization'!$E$4:$E$363,0,0,1)</f>
        <v>123591.6197889687</v>
      </c>
      <c r="V18" s="39">
        <f>(R18+T18)*'Owner Occupier'!$H$35</f>
        <v>52463.24603500549</v>
      </c>
      <c r="W18" s="36">
        <f t="shared" si="2"/>
        <v>-269546.86550840258</v>
      </c>
    </row>
    <row r="19" spans="1:26" ht="14.25" customHeight="1" x14ac:dyDescent="0.25">
      <c r="A19" s="10"/>
      <c r="B19" s="43"/>
      <c r="C19" s="43"/>
      <c r="D19" s="44"/>
      <c r="E19" s="45"/>
      <c r="F19" s="43"/>
      <c r="G19" s="43"/>
      <c r="H19" s="43"/>
      <c r="I19" s="43"/>
      <c r="M19" s="30">
        <v>13</v>
      </c>
      <c r="N19" s="34">
        <f t="shared" si="3"/>
        <v>362433.97343488637</v>
      </c>
      <c r="O19" s="35">
        <f t="shared" si="0"/>
        <v>0.94390080506586216</v>
      </c>
      <c r="P19" s="36">
        <f>'Owner Occupier'!$D$38</f>
        <v>29536.510900764453</v>
      </c>
      <c r="Q19" s="37">
        <f>'Owner Occupier'!$H$30</f>
        <v>3.5000000000000003E-2</v>
      </c>
      <c r="R19" s="38">
        <f>'Owner Occupier'!$D$24</f>
        <v>495990</v>
      </c>
      <c r="S19" s="38">
        <f>'Owner Occupier'!$D$40</f>
        <v>478630.35</v>
      </c>
      <c r="T19" s="39">
        <f t="shared" si="1"/>
        <v>279716.5663747238</v>
      </c>
      <c r="U19" s="39">
        <f>S19-_xlfn.XLOOKUP($M19*12,'FHA Amotization'!$A$4:$A$363,'FHA Amotization'!$E$4:$E$363,0,0,1)</f>
        <v>137016.86670639325</v>
      </c>
      <c r="V19" s="39">
        <f>(R19+T19)*'Owner Occupier'!$H$35</f>
        <v>54299.459646230673</v>
      </c>
      <c r="W19" s="36">
        <f t="shared" si="2"/>
        <v>-292009.10430076945</v>
      </c>
    </row>
    <row r="20" spans="1:26" ht="14.25" customHeight="1" x14ac:dyDescent="0.25">
      <c r="A20" s="10"/>
      <c r="B20" s="43"/>
      <c r="C20" s="43"/>
      <c r="D20" s="44"/>
      <c r="E20" s="45"/>
      <c r="F20" s="43"/>
      <c r="G20" s="43"/>
      <c r="H20" s="43"/>
      <c r="I20" s="43"/>
      <c r="M20" s="30">
        <v>14</v>
      </c>
      <c r="N20" s="34">
        <f t="shared" si="3"/>
        <v>401690.28863010218</v>
      </c>
      <c r="O20" s="35">
        <f t="shared" si="0"/>
        <v>0.97141343369829525</v>
      </c>
      <c r="P20" s="36">
        <f>'Owner Occupier'!$D$38</f>
        <v>29536.510900764453</v>
      </c>
      <c r="Q20" s="37">
        <f>'Owner Occupier'!$H$30</f>
        <v>3.5000000000000003E-2</v>
      </c>
      <c r="R20" s="38">
        <f>'Owner Occupier'!$D$24</f>
        <v>495990</v>
      </c>
      <c r="S20" s="38">
        <f>'Owner Occupier'!$D$40</f>
        <v>478630.35</v>
      </c>
      <c r="T20" s="39">
        <f t="shared" si="1"/>
        <v>306866.2961978392</v>
      </c>
      <c r="U20" s="39">
        <f>S20-_xlfn.XLOOKUP($M20*12,'FHA Amotization'!$A$4:$A$363,'FHA Amotization'!$E$4:$E$363,0,0,1)</f>
        <v>151023.93316611176</v>
      </c>
      <c r="V20" s="39">
        <f>(R20+T20)*'Owner Occupier'!$H$35</f>
        <v>56199.940733848751</v>
      </c>
      <c r="W20" s="36">
        <f t="shared" si="2"/>
        <v>-314471.34309313633</v>
      </c>
    </row>
    <row r="21" spans="1:26" ht="14.25" customHeight="1" x14ac:dyDescent="0.25">
      <c r="A21" s="10"/>
      <c r="B21" s="43"/>
      <c r="C21" s="43"/>
      <c r="D21" s="44"/>
      <c r="E21" s="45"/>
      <c r="F21" s="43"/>
      <c r="G21" s="43"/>
      <c r="H21" s="43"/>
      <c r="I21" s="43"/>
      <c r="M21" s="40">
        <v>15</v>
      </c>
      <c r="N21" s="34">
        <f t="shared" si="3"/>
        <v>442437.3618036214</v>
      </c>
      <c r="O21" s="35">
        <f t="shared" si="0"/>
        <v>0.99862249198425213</v>
      </c>
      <c r="P21" s="36">
        <f>'Owner Occupier'!$D$38</f>
        <v>29536.510900764453</v>
      </c>
      <c r="Q21" s="37">
        <f>'Owner Occupier'!$H$30</f>
        <v>3.5000000000000003E-2</v>
      </c>
      <c r="R21" s="38">
        <f>'Owner Occupier'!$D$24</f>
        <v>495990</v>
      </c>
      <c r="S21" s="38">
        <f>'Owner Occupier'!$D$40</f>
        <v>478630.35</v>
      </c>
      <c r="T21" s="39">
        <f t="shared" si="1"/>
        <v>334966.2665647635</v>
      </c>
      <c r="U21" s="39">
        <f>S21-_xlfn.XLOOKUP($M21*12,'FHA Amotization'!$A$4:$A$363,'FHA Amotization'!$E$4:$E$363,0,0,1)</f>
        <v>165638.03389839135</v>
      </c>
      <c r="V21" s="39">
        <f>(R21+T21)*'Owner Occupier'!$H$35</f>
        <v>58166.938659533451</v>
      </c>
      <c r="W21" s="36">
        <f t="shared" si="2"/>
        <v>-336933.5818855032</v>
      </c>
      <c r="X21" s="85"/>
      <c r="Y21" s="86"/>
      <c r="Z21" s="85"/>
    </row>
    <row r="22" spans="1:26" ht="14.25" customHeight="1" x14ac:dyDescent="0.25">
      <c r="A22" s="10"/>
      <c r="B22" s="43"/>
      <c r="C22" s="43"/>
      <c r="D22" s="44"/>
      <c r="E22" s="45"/>
      <c r="F22" s="43"/>
      <c r="G22" s="43"/>
      <c r="H22" s="43"/>
      <c r="I22" s="43"/>
      <c r="M22" s="30">
        <v>16</v>
      </c>
      <c r="N22" s="34">
        <f t="shared" si="3"/>
        <v>484732.43076423963</v>
      </c>
      <c r="O22" s="35">
        <f t="shared" si="0"/>
        <v>1.0257060160068152</v>
      </c>
      <c r="P22" s="36">
        <f>'Owner Occupier'!$D$38</f>
        <v>29536.510900764453</v>
      </c>
      <c r="Q22" s="37">
        <f>'Owner Occupier'!$H$30</f>
        <v>3.5000000000000003E-2</v>
      </c>
      <c r="R22" s="38">
        <f>'Owner Occupier'!$D$24</f>
        <v>495990</v>
      </c>
      <c r="S22" s="38">
        <f>'Owner Occupier'!$D$40</f>
        <v>478630.35</v>
      </c>
      <c r="T22" s="39">
        <f t="shared" si="1"/>
        <v>364049.73589453008</v>
      </c>
      <c r="U22" s="39">
        <f>S22-_xlfn.XLOOKUP($M22*12,'FHA Amotization'!$A$4:$A$363,'FHA Amotization'!$E$4:$E$363,0,0,1)</f>
        <v>180885.47638232668</v>
      </c>
      <c r="V22" s="39">
        <f>(R22+T22)*'Owner Occupier'!$H$35</f>
        <v>60202.781512617112</v>
      </c>
      <c r="W22" s="36">
        <f t="shared" si="2"/>
        <v>-359395.82067787007</v>
      </c>
    </row>
    <row r="23" spans="1:26" ht="18" x14ac:dyDescent="0.25">
      <c r="A23" s="10"/>
      <c r="B23" s="46" t="s">
        <v>0</v>
      </c>
      <c r="C23" s="46"/>
      <c r="D23" s="47"/>
      <c r="E23" s="48"/>
      <c r="F23" s="49"/>
      <c r="G23" s="46" t="s">
        <v>23</v>
      </c>
      <c r="H23" s="48" t="s">
        <v>11</v>
      </c>
      <c r="I23" s="48" t="s">
        <v>12</v>
      </c>
      <c r="M23" s="30">
        <v>17</v>
      </c>
      <c r="N23" s="34">
        <f t="shared" si="3"/>
        <v>528634.95598835777</v>
      </c>
      <c r="O23" s="35">
        <f t="shared" si="0"/>
        <v>1.0528045775665156</v>
      </c>
      <c r="P23" s="36">
        <f>'Owner Occupier'!$D$38</f>
        <v>29536.510900764453</v>
      </c>
      <c r="Q23" s="37">
        <f>'Owner Occupier'!$H$30</f>
        <v>3.5000000000000003E-2</v>
      </c>
      <c r="R23" s="38">
        <f>'Owner Occupier'!$D$24</f>
        <v>495990</v>
      </c>
      <c r="S23" s="38">
        <f>'Owner Occupier'!$D$40</f>
        <v>478630.35</v>
      </c>
      <c r="T23" s="39">
        <f t="shared" si="1"/>
        <v>394151.12665083853</v>
      </c>
      <c r="U23" s="39">
        <f>S23-_xlfn.XLOOKUP($M23*12,'FHA Amotization'!$A$4:$A$363,'FHA Amotization'!$E$4:$E$363,0,0,1)</f>
        <v>196793.70820307796</v>
      </c>
      <c r="V23" s="39">
        <f>(R23+T23)*'Owner Occupier'!$H$35</f>
        <v>62309.878865558705</v>
      </c>
      <c r="W23" s="36">
        <f t="shared" si="2"/>
        <v>-381858.05947023694</v>
      </c>
    </row>
    <row r="24" spans="1:26" x14ac:dyDescent="0.25">
      <c r="A24" s="10"/>
      <c r="B24" s="56" t="s">
        <v>84</v>
      </c>
      <c r="C24" s="56"/>
      <c r="D24" s="61">
        <f>Summary!E8</f>
        <v>495990</v>
      </c>
      <c r="E24" s="45"/>
      <c r="F24" s="43"/>
      <c r="G24" s="44" t="s">
        <v>136</v>
      </c>
      <c r="H24" s="50">
        <f>Summary!E11</f>
        <v>1775</v>
      </c>
      <c r="I24" s="53">
        <f t="shared" ref="I24" si="4">H24*12</f>
        <v>21300</v>
      </c>
      <c r="M24" s="30">
        <v>18</v>
      </c>
      <c r="N24" s="34">
        <f t="shared" si="3"/>
        <v>574206.70791922917</v>
      </c>
      <c r="O24" s="35">
        <f t="shared" si="0"/>
        <v>1.0800318551286219</v>
      </c>
      <c r="P24" s="36">
        <f>'Owner Occupier'!$D$38</f>
        <v>29536.510900764453</v>
      </c>
      <c r="Q24" s="37">
        <f>'Owner Occupier'!$H$30</f>
        <v>3.5000000000000003E-2</v>
      </c>
      <c r="R24" s="38">
        <f>'Owner Occupier'!$D$24</f>
        <v>495990</v>
      </c>
      <c r="S24" s="38">
        <f>'Owner Occupier'!$D$40</f>
        <v>478630.35</v>
      </c>
      <c r="T24" s="39">
        <f t="shared" si="1"/>
        <v>425306.06608361786</v>
      </c>
      <c r="U24" s="39">
        <f>S24-_xlfn.XLOOKUP($M24*12,'FHA Amotization'!$A$4:$A$363,'FHA Amotization'!$E$4:$E$363,0,0,1)</f>
        <v>213391.36646146461</v>
      </c>
      <c r="V24" s="39">
        <f>(R24+T24)*'Owner Occupier'!$H$35</f>
        <v>64490.724625853254</v>
      </c>
      <c r="W24" s="36">
        <f t="shared" si="2"/>
        <v>-404320.29826260381</v>
      </c>
    </row>
    <row r="25" spans="1:26" x14ac:dyDescent="0.25">
      <c r="A25" s="10"/>
      <c r="B25" s="56" t="s">
        <v>89</v>
      </c>
      <c r="C25" s="56"/>
      <c r="D25" s="61">
        <f>I24</f>
        <v>21300</v>
      </c>
      <c r="E25" s="45"/>
      <c r="F25" s="43"/>
      <c r="G25" s="44" t="s">
        <v>117</v>
      </c>
      <c r="H25" s="50">
        <f>D56</f>
        <v>3646.8532326972404</v>
      </c>
      <c r="I25" s="53">
        <f>E56</f>
        <v>43762.238792366879</v>
      </c>
      <c r="M25" s="30">
        <v>19</v>
      </c>
      <c r="N25" s="34">
        <f t="shared" si="3"/>
        <v>621511.85773364338</v>
      </c>
      <c r="O25" s="35">
        <f t="shared" si="0"/>
        <v>1.1074818727552291</v>
      </c>
      <c r="P25" s="36">
        <f>'Owner Occupier'!$D$38</f>
        <v>29536.510900764453</v>
      </c>
      <c r="Q25" s="37">
        <f>'Owner Occupier'!$H$30</f>
        <v>3.5000000000000003E-2</v>
      </c>
      <c r="R25" s="38">
        <f>'Owner Occupier'!$D$24</f>
        <v>495990</v>
      </c>
      <c r="S25" s="38">
        <f>'Owner Occupier'!$D$40</f>
        <v>478630.35</v>
      </c>
      <c r="T25" s="39">
        <f t="shared" si="1"/>
        <v>457551.42839654442</v>
      </c>
      <c r="U25" s="39">
        <f>S25-_xlfn.XLOOKUP($M25*12,'FHA Amotization'!$A$4:$A$363,'FHA Amotization'!$E$4:$E$363,0,0,1)</f>
        <v>230708.32932485713</v>
      </c>
      <c r="V25" s="39">
        <f>(R25+T25)*'Owner Occupier'!$H$35</f>
        <v>66747.899987758123</v>
      </c>
      <c r="W25" s="36">
        <f t="shared" si="2"/>
        <v>-426782.53705497069</v>
      </c>
    </row>
    <row r="26" spans="1:26" x14ac:dyDescent="0.25">
      <c r="A26" s="10"/>
      <c r="B26" s="56" t="s">
        <v>77</v>
      </c>
      <c r="C26" s="56"/>
      <c r="D26" s="61">
        <f>D38</f>
        <v>29536.510900764453</v>
      </c>
      <c r="E26" s="45"/>
      <c r="F26" s="43"/>
      <c r="G26" s="56" t="s">
        <v>132</v>
      </c>
      <c r="H26" s="58">
        <f>H24-H25</f>
        <v>-1871.8532326972404</v>
      </c>
      <c r="I26" s="59">
        <f>I24-I25</f>
        <v>-22462.238792366879</v>
      </c>
      <c r="M26" s="30">
        <v>20</v>
      </c>
      <c r="N26" s="34">
        <f t="shared" si="3"/>
        <v>670617.07171526121</v>
      </c>
      <c r="O26" s="35">
        <f t="shared" si="0"/>
        <v>1.135234073463133</v>
      </c>
      <c r="P26" s="36">
        <f>'Owner Occupier'!$D$38</f>
        <v>29536.510900764453</v>
      </c>
      <c r="Q26" s="37">
        <f>'Owner Occupier'!$H$30</f>
        <v>3.5000000000000003E-2</v>
      </c>
      <c r="R26" s="38">
        <f>'Owner Occupier'!$D$24</f>
        <v>495990</v>
      </c>
      <c r="S26" s="38">
        <f>'Owner Occupier'!$D$40</f>
        <v>478630.35</v>
      </c>
      <c r="T26" s="39">
        <f t="shared" si="1"/>
        <v>490925.37839042337</v>
      </c>
      <c r="U26" s="39">
        <f>S26-_xlfn.XLOOKUP($M26*12,'FHA Amotization'!$A$4:$A$363,'FHA Amotization'!$E$4:$E$363,0,0,1)</f>
        <v>248775.76981216751</v>
      </c>
      <c r="V26" s="39">
        <f>(R26+T26)*'Owner Occupier'!$H$35</f>
        <v>69084.076487329643</v>
      </c>
      <c r="W26" s="36">
        <f t="shared" si="2"/>
        <v>-449244.77584733756</v>
      </c>
    </row>
    <row r="27" spans="1:26" x14ac:dyDescent="0.25">
      <c r="A27" s="10"/>
      <c r="B27" s="56" t="s">
        <v>135</v>
      </c>
      <c r="C27" s="56"/>
      <c r="D27" s="61">
        <f>H26</f>
        <v>-1871.8532326972404</v>
      </c>
      <c r="E27" s="45"/>
      <c r="F27" s="43"/>
      <c r="G27" s="56" t="s">
        <v>133</v>
      </c>
      <c r="H27" s="58">
        <f>H24-H25+D54+D55</f>
        <v>-1765.3532326972404</v>
      </c>
      <c r="I27" s="58">
        <f>I24-I25+E54+E55</f>
        <v>-21184.238792366879</v>
      </c>
      <c r="M27" s="30">
        <v>21</v>
      </c>
      <c r="N27" s="34">
        <f t="shared" si="3"/>
        <v>721591.60937945952</v>
      </c>
      <c r="O27" s="35">
        <f t="shared" si="0"/>
        <v>1.1633569490991016</v>
      </c>
      <c r="P27" s="36">
        <f>'Owner Occupier'!$D$38</f>
        <v>29536.510900764453</v>
      </c>
      <c r="Q27" s="37">
        <f>'Owner Occupier'!$H$30</f>
        <v>3.5000000000000003E-2</v>
      </c>
      <c r="R27" s="38">
        <f>'Owner Occupier'!$D$24</f>
        <v>495990</v>
      </c>
      <c r="S27" s="38">
        <f>'Owner Occupier'!$D$40</f>
        <v>478630.35</v>
      </c>
      <c r="T27" s="39">
        <f t="shared" si="1"/>
        <v>525467.41663408792</v>
      </c>
      <c r="U27" s="39">
        <f>S27-_xlfn.XLOOKUP($M27*12,'FHA Amotization'!$A$4:$A$363,'FHA Amotization'!$E$4:$E$363,0,0,1)</f>
        <v>267626.21190975781</v>
      </c>
      <c r="V27" s="39">
        <f>(R27+T27)*'Owner Occupier'!$H$35</f>
        <v>71502.019164386162</v>
      </c>
      <c r="W27" s="36">
        <f t="shared" si="2"/>
        <v>-471707.01463970449</v>
      </c>
    </row>
    <row r="28" spans="1:26" x14ac:dyDescent="0.25">
      <c r="A28" s="10"/>
      <c r="B28" s="56" t="s">
        <v>134</v>
      </c>
      <c r="C28" s="56"/>
      <c r="D28" s="61">
        <f>H27</f>
        <v>-1765.3532326972404</v>
      </c>
      <c r="E28" s="45"/>
      <c r="F28" s="43"/>
      <c r="G28" s="10"/>
      <c r="H28" s="10"/>
      <c r="I28" s="10"/>
      <c r="M28" s="30">
        <v>22</v>
      </c>
      <c r="N28" s="34">
        <f t="shared" si="3"/>
        <v>774507.42550042563</v>
      </c>
      <c r="O28" s="35">
        <f t="shared" si="0"/>
        <v>1.1919106862544455</v>
      </c>
      <c r="P28" s="36">
        <f>'Owner Occupier'!$D$38</f>
        <v>29536.510900764453</v>
      </c>
      <c r="Q28" s="37">
        <f>'Owner Occupier'!$H$30</f>
        <v>3.5000000000000003E-2</v>
      </c>
      <c r="R28" s="38">
        <f>'Owner Occupier'!$D$24</f>
        <v>495990</v>
      </c>
      <c r="S28" s="38">
        <f>'Owner Occupier'!$D$40</f>
        <v>478630.35</v>
      </c>
      <c r="T28" s="39">
        <f t="shared" si="1"/>
        <v>561218.42621628102</v>
      </c>
      <c r="U28" s="39">
        <f>S28-_xlfn.XLOOKUP($M28*12,'FHA Amotization'!$A$4:$A$363,'FHA Amotization'!$E$4:$E$363,0,0,1)</f>
        <v>287293.5891192843</v>
      </c>
      <c r="V28" s="39">
        <f>(R28+T28)*'Owner Occupier'!$H$35</f>
        <v>74004.589835139675</v>
      </c>
      <c r="W28" s="36">
        <f t="shared" si="2"/>
        <v>-494169.25343207136</v>
      </c>
    </row>
    <row r="29" spans="1:26" ht="18" x14ac:dyDescent="0.25">
      <c r="A29" s="10"/>
      <c r="B29" s="56" t="s">
        <v>115</v>
      </c>
      <c r="C29" s="56"/>
      <c r="D29" s="73">
        <f>H34</f>
        <v>78140.963490429524</v>
      </c>
      <c r="E29" s="45"/>
      <c r="F29" s="43"/>
      <c r="G29" s="46" t="s">
        <v>25</v>
      </c>
      <c r="H29" s="48"/>
      <c r="I29" s="48"/>
      <c r="M29" s="30">
        <v>23</v>
      </c>
      <c r="N29" s="34">
        <f t="shared" si="3"/>
        <v>829439.27619735291</v>
      </c>
      <c r="O29" s="35">
        <f t="shared" si="0"/>
        <v>1.2209491279160702</v>
      </c>
      <c r="P29" s="36">
        <f>'Owner Occupier'!$D$38</f>
        <v>29536.510900764453</v>
      </c>
      <c r="Q29" s="37">
        <f>'Owner Occupier'!$H$30</f>
        <v>3.5000000000000003E-2</v>
      </c>
      <c r="R29" s="38">
        <f>'Owner Occupier'!$D$24</f>
        <v>495990</v>
      </c>
      <c r="S29" s="38">
        <f>'Owner Occupier'!$D$40</f>
        <v>478630.35</v>
      </c>
      <c r="T29" s="39">
        <f t="shared" si="1"/>
        <v>598220.72113385098</v>
      </c>
      <c r="U29" s="39">
        <f>S29-_xlfn.XLOOKUP($M29*12,'FHA Amotization'!$A$4:$A$363,'FHA Amotization'!$E$4:$E$363,0,0,1)</f>
        <v>307813.30554287147</v>
      </c>
      <c r="V29" s="39">
        <f>(R29+T29)*'Owner Occupier'!$H$35</f>
        <v>76594.75047936957</v>
      </c>
      <c r="W29" s="36">
        <f t="shared" si="2"/>
        <v>-516631.49222443823</v>
      </c>
    </row>
    <row r="30" spans="1:26" x14ac:dyDescent="0.25">
      <c r="A30" s="10"/>
      <c r="B30" s="56" t="s">
        <v>76</v>
      </c>
      <c r="C30" s="56"/>
      <c r="D30" s="77">
        <f>H32</f>
        <v>334966.2665647635</v>
      </c>
      <c r="E30" s="45"/>
      <c r="F30" s="43"/>
      <c r="G30" s="44" t="s">
        <v>79</v>
      </c>
      <c r="H30" s="62">
        <f>Summary!E12</f>
        <v>3.5000000000000003E-2</v>
      </c>
      <c r="I30" s="45"/>
      <c r="M30" s="30">
        <v>24</v>
      </c>
      <c r="N30" s="34">
        <f t="shared" si="3"/>
        <v>886464.82924296579</v>
      </c>
      <c r="O30" s="35">
        <f t="shared" si="0"/>
        <v>1.2505212506611361</v>
      </c>
      <c r="P30" s="36">
        <f>'Owner Occupier'!$D$38</f>
        <v>29536.510900764453</v>
      </c>
      <c r="Q30" s="37">
        <f>'Owner Occupier'!$H$30</f>
        <v>3.5000000000000003E-2</v>
      </c>
      <c r="R30" s="38">
        <f>'Owner Occupier'!$D$24</f>
        <v>495990</v>
      </c>
      <c r="S30" s="38">
        <f>'Owner Occupier'!$D$40</f>
        <v>478630.35</v>
      </c>
      <c r="T30" s="39">
        <f t="shared" si="1"/>
        <v>636518.09637353546</v>
      </c>
      <c r="U30" s="39">
        <f>S30-_xlfn.XLOOKUP($M30*12,'FHA Amotization'!$A$4:$A$363,'FHA Amotization'!$E$4:$E$363,0,0,1)</f>
        <v>329222.29961557779</v>
      </c>
      <c r="V30" s="39">
        <f>(R30+T30)*'Owner Occupier'!$H$35</f>
        <v>79275.566746147495</v>
      </c>
      <c r="W30" s="36">
        <f t="shared" si="2"/>
        <v>-539093.73101680516</v>
      </c>
    </row>
    <row r="31" spans="1:26" x14ac:dyDescent="0.25">
      <c r="A31" s="10"/>
      <c r="B31" s="56" t="s">
        <v>3</v>
      </c>
      <c r="C31" s="56"/>
      <c r="D31" s="61">
        <f>H37</f>
        <v>354940.29139565956</v>
      </c>
      <c r="E31" s="45"/>
      <c r="F31" s="43"/>
      <c r="G31" s="44" t="s">
        <v>27</v>
      </c>
      <c r="H31" s="79">
        <f>Summary!E13</f>
        <v>15</v>
      </c>
      <c r="I31" s="45"/>
      <c r="M31" s="30">
        <v>25</v>
      </c>
      <c r="N31" s="34">
        <f t="shared" si="3"/>
        <v>945664.77876422775</v>
      </c>
      <c r="O31" s="35">
        <f t="shared" si="0"/>
        <v>1.28067229327314</v>
      </c>
      <c r="P31" s="36">
        <f>'Owner Occupier'!$D$38</f>
        <v>29536.510900764453</v>
      </c>
      <c r="Q31" s="37">
        <f>'Owner Occupier'!$H$30</f>
        <v>3.5000000000000003E-2</v>
      </c>
      <c r="R31" s="38">
        <f>'Owner Occupier'!$D$24</f>
        <v>495990</v>
      </c>
      <c r="S31" s="38">
        <f>'Owner Occupier'!$D$40</f>
        <v>478630.35</v>
      </c>
      <c r="T31" s="39">
        <f t="shared" si="1"/>
        <v>676155.87974660913</v>
      </c>
      <c r="U31" s="39">
        <f>S31-_xlfn.XLOOKUP($M31*12,'FHA Amotization'!$A$4:$A$363,'FHA Amotization'!$E$4:$E$363,0,0,1)</f>
        <v>351559.11059988127</v>
      </c>
      <c r="V31" s="39">
        <f>(R31+T31)*'Owner Occupier'!$H$35</f>
        <v>82050.211582262651</v>
      </c>
      <c r="W31" s="36">
        <f t="shared" si="2"/>
        <v>-561555.96980917198</v>
      </c>
    </row>
    <row r="32" spans="1:26" x14ac:dyDescent="0.25">
      <c r="A32" s="10"/>
      <c r="B32" s="56" t="s">
        <v>4</v>
      </c>
      <c r="C32" s="19"/>
      <c r="D32" s="89">
        <f>H38</f>
        <v>0.80113342339401172</v>
      </c>
      <c r="E32" s="16"/>
      <c r="F32" s="43"/>
      <c r="G32" s="56" t="str">
        <f>CONCATENATE("Appreciation After ",H31," Years")</f>
        <v>Appreciation After 15 Years</v>
      </c>
      <c r="H32" s="58">
        <f>$D$34*(1+H30)^H31-$D$34</f>
        <v>334966.2665647635</v>
      </c>
      <c r="I32" s="45"/>
      <c r="M32" s="30">
        <v>26</v>
      </c>
      <c r="N32" s="34">
        <f t="shared" si="3"/>
        <v>1007122.9645119826</v>
      </c>
      <c r="O32" s="35">
        <f t="shared" si="0"/>
        <v>1.3114446308576588</v>
      </c>
      <c r="P32" s="36">
        <f>'Owner Occupier'!$D$38</f>
        <v>29536.510900764453</v>
      </c>
      <c r="Q32" s="37">
        <f>'Owner Occupier'!$H$30</f>
        <v>3.5000000000000003E-2</v>
      </c>
      <c r="R32" s="38">
        <f>'Owner Occupier'!$D$24</f>
        <v>495990</v>
      </c>
      <c r="S32" s="38">
        <f>'Owner Occupier'!$D$40</f>
        <v>478630.35</v>
      </c>
      <c r="T32" s="39">
        <f t="shared" si="1"/>
        <v>717180.9855377404</v>
      </c>
      <c r="U32" s="39">
        <f>S32-_xlfn.XLOOKUP($M32*12,'FHA Amotization'!$A$4:$A$363,'FHA Amotization'!$E$4:$E$363,0,0,1)</f>
        <v>374863.94796188409</v>
      </c>
      <c r="V32" s="39">
        <f>(R32+T32)*'Owner Occupier'!$H$35</f>
        <v>84921.968987641842</v>
      </c>
      <c r="W32" s="36">
        <f t="shared" si="2"/>
        <v>-584018.20860153891</v>
      </c>
    </row>
    <row r="33" spans="1:23" ht="18" x14ac:dyDescent="0.25">
      <c r="A33" s="10"/>
      <c r="B33" s="46" t="s">
        <v>6</v>
      </c>
      <c r="C33" s="46"/>
      <c r="D33" s="47"/>
      <c r="E33" s="48"/>
      <c r="F33" s="43"/>
      <c r="G33" s="56"/>
      <c r="H33" s="64"/>
      <c r="I33" s="45"/>
      <c r="M33" s="30">
        <v>27</v>
      </c>
      <c r="N33" s="34">
        <f t="shared" si="3"/>
        <v>1070926.4958834748</v>
      </c>
      <c r="O33" s="35">
        <f>N33/P33/M33</f>
        <v>1.3428784606699764</v>
      </c>
      <c r="P33" s="36">
        <f>'Owner Occupier'!$D$38</f>
        <v>29536.510900764453</v>
      </c>
      <c r="Q33" s="37">
        <f>'Owner Occupier'!$H$30</f>
        <v>3.5000000000000003E-2</v>
      </c>
      <c r="R33" s="38">
        <f>'Owner Occupier'!$D$24</f>
        <v>495990</v>
      </c>
      <c r="S33" s="38">
        <f>'Owner Occupier'!$D$40</f>
        <v>478630.35</v>
      </c>
      <c r="T33" s="39">
        <f t="shared" si="1"/>
        <v>759641.97003156133</v>
      </c>
      <c r="U33" s="39">
        <f>S33-_xlfn.XLOOKUP($M33*12,'FHA Amotization'!$A$4:$A$363,'FHA Amotization'!$E$4:$E$363,0,0,1)</f>
        <v>399178.76375412301</v>
      </c>
      <c r="V33" s="39">
        <f>(R33+T33)*'Owner Occupier'!$H$35</f>
        <v>87894.237902209308</v>
      </c>
      <c r="W33" s="36">
        <f t="shared" si="2"/>
        <v>-606480.44739390572</v>
      </c>
    </row>
    <row r="34" spans="1:23" x14ac:dyDescent="0.25">
      <c r="A34" s="10"/>
      <c r="B34" s="44" t="s">
        <v>84</v>
      </c>
      <c r="C34" s="44"/>
      <c r="D34" s="50">
        <f>Summary!E8</f>
        <v>495990</v>
      </c>
      <c r="E34" s="45"/>
      <c r="F34" s="43"/>
      <c r="G34" s="56" t="s">
        <v>115</v>
      </c>
      <c r="H34" s="58">
        <f>_xlfn.XLOOKUP($H$31*12,'FHA Amotization'!A4:A363,'FHA Amotization'!G4:G363,0,0,1)</f>
        <v>78140.963490429524</v>
      </c>
      <c r="I34" s="71"/>
      <c r="M34" s="30">
        <v>28</v>
      </c>
      <c r="N34" s="34">
        <f t="shared" si="3"/>
        <v>1137165.8808891657</v>
      </c>
      <c r="O34" s="35">
        <f>N34/P34/M34</f>
        <v>1.3750123469580804</v>
      </c>
      <c r="P34" s="36">
        <f>'Owner Occupier'!$D$38</f>
        <v>29536.510900764453</v>
      </c>
      <c r="Q34" s="37">
        <f>'Owner Occupier'!$H$30</f>
        <v>3.5000000000000003E-2</v>
      </c>
      <c r="R34" s="38">
        <f>'Owner Occupier'!$D$24</f>
        <v>495990</v>
      </c>
      <c r="S34" s="38">
        <f>'Owner Occupier'!$D$40</f>
        <v>478630.35</v>
      </c>
      <c r="T34" s="39">
        <f t="shared" si="1"/>
        <v>803589.08898266591</v>
      </c>
      <c r="U34" s="39">
        <f>S34-_xlfn.XLOOKUP($M34*12,'FHA Amotization'!$A$4:$A$363,'FHA Amotization'!$E$4:$E$363,0,0,1)</f>
        <v>424547.32813528657</v>
      </c>
      <c r="V34" s="39">
        <f>(R34+T34)*'Owner Occupier'!$H$35</f>
        <v>90970.536228786616</v>
      </c>
      <c r="W34" s="36">
        <f t="shared" si="2"/>
        <v>-628942.68618627265</v>
      </c>
    </row>
    <row r="35" spans="1:23" x14ac:dyDescent="0.25">
      <c r="A35" s="10"/>
      <c r="B35" s="44" t="s">
        <v>8</v>
      </c>
      <c r="C35" s="84">
        <f>Summary!E9</f>
        <v>3.5000000000000003E-2</v>
      </c>
      <c r="D35" s="52">
        <f>C35*D34</f>
        <v>17359.650000000001</v>
      </c>
      <c r="E35" s="45"/>
      <c r="F35" s="43"/>
      <c r="G35" s="44" t="s">
        <v>31</v>
      </c>
      <c r="H35" s="51">
        <v>7.0000000000000007E-2</v>
      </c>
      <c r="I35" s="45"/>
      <c r="M35" s="30">
        <v>29</v>
      </c>
      <c r="N35" s="34">
        <f t="shared" si="3"/>
        <v>1205935.1602630483</v>
      </c>
      <c r="O35" s="35">
        <f>N35/P35/M35</f>
        <v>1.4078836590843615</v>
      </c>
      <c r="P35" s="36">
        <f>'Owner Occupier'!$D$38</f>
        <v>29536.510900764453</v>
      </c>
      <c r="Q35" s="37">
        <f>'Owner Occupier'!$H$30</f>
        <v>3.5000000000000003E-2</v>
      </c>
      <c r="R35" s="38">
        <f>'Owner Occupier'!$D$24</f>
        <v>495990</v>
      </c>
      <c r="S35" s="38">
        <f>'Owner Occupier'!$D$40</f>
        <v>478630.35</v>
      </c>
      <c r="T35" s="39">
        <f t="shared" si="1"/>
        <v>849074.35709705902</v>
      </c>
      <c r="U35" s="39">
        <f>S35-_xlfn.XLOOKUP($M35*12,'FHA Amotization'!$A$4:$A$363,'FHA Amotization'!$E$4:$E$363,0,0,1)</f>
        <v>451015.30816278321</v>
      </c>
      <c r="V35" s="39">
        <f>(R35+T35)*'Owner Occupier'!$H$35</f>
        <v>94154.504996794145</v>
      </c>
      <c r="W35" s="36">
        <f t="shared" si="2"/>
        <v>-651404.92497863946</v>
      </c>
    </row>
    <row r="36" spans="1:23" x14ac:dyDescent="0.25">
      <c r="A36" s="10"/>
      <c r="B36" s="44" t="s">
        <v>73</v>
      </c>
      <c r="C36" s="44"/>
      <c r="D36" s="52">
        <f>'Closing Costs'!C28</f>
        <v>12176.860900764452</v>
      </c>
      <c r="E36" s="60"/>
      <c r="F36" s="43"/>
      <c r="G36" s="44" t="s">
        <v>32</v>
      </c>
      <c r="H36" s="52">
        <f>(D34+H32)*$H$35</f>
        <v>58166.938659533451</v>
      </c>
      <c r="I36" s="45"/>
      <c r="M36" s="30">
        <v>30</v>
      </c>
      <c r="N36" s="34">
        <f t="shared" si="3"/>
        <v>1277332.0469237743</v>
      </c>
      <c r="O36" s="35">
        <f>N36/P36/M36</f>
        <v>1.4415289280616135</v>
      </c>
      <c r="P36" s="36">
        <f>'Owner Occupier'!$D$38</f>
        <v>29536.510900764453</v>
      </c>
      <c r="Q36" s="37">
        <f>'Owner Occupier'!$H$30</f>
        <v>3.5000000000000003E-2</v>
      </c>
      <c r="R36" s="38">
        <f>'Owner Occupier'!$D$24</f>
        <v>495990</v>
      </c>
      <c r="S36" s="38">
        <f>'Owner Occupier'!$D$40</f>
        <v>478630.35</v>
      </c>
      <c r="T36" s="39">
        <f t="shared" si="1"/>
        <v>896151.60959545616</v>
      </c>
      <c r="U36" s="39">
        <f>S36-_xlfn.XLOOKUP($M36*12,'FHA Amotization'!$A$4:$A$363,'FHA Amotization'!$E$4:$E$363,0,0,1)</f>
        <v>478630.35000000009</v>
      </c>
      <c r="V36" s="39">
        <f>(R36+T36)*'Owner Occupier'!$H$35</f>
        <v>97449.912671681945</v>
      </c>
      <c r="W36" s="36">
        <f t="shared" si="2"/>
        <v>-673867.1637710064</v>
      </c>
    </row>
    <row r="37" spans="1:23" x14ac:dyDescent="0.25">
      <c r="A37" s="10"/>
      <c r="B37" s="44" t="s">
        <v>9</v>
      </c>
      <c r="C37" s="44"/>
      <c r="D37" s="50">
        <v>0</v>
      </c>
      <c r="E37" s="45"/>
      <c r="F37" s="43"/>
      <c r="G37" s="56" t="s">
        <v>3</v>
      </c>
      <c r="H37" s="58">
        <f>+H32+H34-H36</f>
        <v>354940.29139565956</v>
      </c>
      <c r="I37" s="45"/>
      <c r="K37" s="2"/>
    </row>
    <row r="38" spans="1:23" x14ac:dyDescent="0.25">
      <c r="A38" s="10"/>
      <c r="B38" s="56" t="s">
        <v>77</v>
      </c>
      <c r="C38" s="56"/>
      <c r="D38" s="61">
        <f>SUM(D35:D37)</f>
        <v>29536.510900764453</v>
      </c>
      <c r="E38" s="45"/>
      <c r="F38" s="43"/>
      <c r="G38" s="56" t="s">
        <v>4</v>
      </c>
      <c r="H38" s="88">
        <f>H37/D38/H31</f>
        <v>0.80113342339401172</v>
      </c>
      <c r="I38" s="45"/>
      <c r="N38" s="34"/>
    </row>
    <row r="39" spans="1:23" ht="18" x14ac:dyDescent="0.25">
      <c r="A39" s="10"/>
      <c r="B39" s="46" t="s">
        <v>10</v>
      </c>
      <c r="C39" s="46"/>
      <c r="D39" s="48" t="s">
        <v>11</v>
      </c>
      <c r="E39" s="48" t="s">
        <v>12</v>
      </c>
      <c r="F39" s="43"/>
      <c r="G39" s="10"/>
      <c r="H39" s="10"/>
      <c r="I39" s="45"/>
    </row>
    <row r="40" spans="1:23" ht="18" x14ac:dyDescent="0.25">
      <c r="A40" s="10"/>
      <c r="B40" s="44" t="s">
        <v>13</v>
      </c>
      <c r="C40" s="44"/>
      <c r="D40" s="52">
        <f>D34-D35</f>
        <v>478630.35</v>
      </c>
      <c r="E40" s="45"/>
      <c r="F40" s="43"/>
      <c r="G40" s="46" t="s">
        <v>33</v>
      </c>
      <c r="H40" s="48"/>
      <c r="I40" s="48"/>
    </row>
    <row r="41" spans="1:23" x14ac:dyDescent="0.25">
      <c r="A41" s="10"/>
      <c r="B41" s="44" t="s">
        <v>82</v>
      </c>
      <c r="C41" s="44"/>
      <c r="D41" s="63">
        <f>Summary!E10</f>
        <v>4.2500000000000003E-2</v>
      </c>
      <c r="E41" s="45"/>
      <c r="F41" s="43"/>
      <c r="G41" s="56" t="s">
        <v>87</v>
      </c>
      <c r="H41" s="66"/>
      <c r="I41" s="58">
        <f>((D34-68000)/27.5)*0.5</f>
        <v>7781.636363636364</v>
      </c>
    </row>
    <row r="42" spans="1:23" x14ac:dyDescent="0.25">
      <c r="A42" s="10"/>
      <c r="B42" s="44" t="s">
        <v>14</v>
      </c>
      <c r="C42" s="44"/>
      <c r="D42" s="55">
        <v>30</v>
      </c>
      <c r="E42" s="45"/>
      <c r="F42" s="43"/>
      <c r="G42" s="10"/>
      <c r="H42" s="10"/>
      <c r="I42" s="10"/>
    </row>
    <row r="43" spans="1:23" ht="18" x14ac:dyDescent="0.25">
      <c r="A43" s="10"/>
      <c r="B43" s="56" t="s">
        <v>15</v>
      </c>
      <c r="C43" s="56"/>
      <c r="D43" s="61">
        <f>-PMT(D41/12,D42*12,$D$40,0,0)</f>
        <v>2354.5736224633511</v>
      </c>
      <c r="E43" s="59">
        <f>D43*12</f>
        <v>28254.883469560213</v>
      </c>
      <c r="F43" s="43"/>
      <c r="G43" s="46" t="s">
        <v>34</v>
      </c>
      <c r="H43" s="48"/>
      <c r="I43" s="48"/>
    </row>
    <row r="44" spans="1:23" ht="18" x14ac:dyDescent="0.25">
      <c r="A44" s="10"/>
      <c r="B44" s="46" t="s">
        <v>116</v>
      </c>
      <c r="C44" s="46"/>
      <c r="D44" s="48" t="s">
        <v>11</v>
      </c>
      <c r="E44" s="48" t="s">
        <v>12</v>
      </c>
      <c r="F44" s="43"/>
      <c r="G44" s="44" t="s">
        <v>35</v>
      </c>
      <c r="H44" s="44"/>
      <c r="I44" s="67">
        <v>6</v>
      </c>
    </row>
    <row r="45" spans="1:23" x14ac:dyDescent="0.25">
      <c r="A45" s="10"/>
      <c r="B45" s="44" t="s">
        <v>16</v>
      </c>
      <c r="C45" s="44"/>
      <c r="D45" s="52">
        <f>D43</f>
        <v>2354.5736224633511</v>
      </c>
      <c r="E45" s="53">
        <f>E43</f>
        <v>28254.883469560213</v>
      </c>
      <c r="F45" s="43"/>
      <c r="G45" s="56" t="s">
        <v>34</v>
      </c>
      <c r="H45" s="68"/>
      <c r="I45" s="58">
        <f>MIN((D56-D52-D54),3500)*I44*0.5</f>
        <v>10470.894698091721</v>
      </c>
    </row>
    <row r="46" spans="1:23" x14ac:dyDescent="0.25">
      <c r="A46" s="10"/>
      <c r="B46" s="44" t="s">
        <v>17</v>
      </c>
      <c r="C46" s="82">
        <v>2.0030539999999999E-2</v>
      </c>
      <c r="D46" s="52">
        <f>C46*0.9*D34/12</f>
        <v>745.12106509500006</v>
      </c>
      <c r="E46" s="53">
        <f>D46*12</f>
        <v>8941.4527811400003</v>
      </c>
      <c r="F46" s="43"/>
      <c r="G46" s="10"/>
      <c r="H46" s="10"/>
      <c r="I46" s="10"/>
    </row>
    <row r="47" spans="1:23" x14ac:dyDescent="0.25">
      <c r="A47" s="10"/>
      <c r="B47" s="44" t="s">
        <v>88</v>
      </c>
      <c r="C47" s="44"/>
      <c r="D47" s="72">
        <f>E47/12</f>
        <v>99.714656250000004</v>
      </c>
      <c r="E47" s="74">
        <f>0.0025*D40</f>
        <v>1196.575875</v>
      </c>
      <c r="F47" s="43"/>
      <c r="G47" s="10"/>
      <c r="H47" s="10"/>
      <c r="I47" s="10"/>
    </row>
    <row r="48" spans="1:23" x14ac:dyDescent="0.25">
      <c r="A48" s="10"/>
      <c r="B48" s="44" t="s">
        <v>86</v>
      </c>
      <c r="C48" s="44"/>
      <c r="D48" s="50">
        <v>105</v>
      </c>
      <c r="E48" s="53">
        <f>D48*12</f>
        <v>1260</v>
      </c>
      <c r="F48" s="43"/>
      <c r="G48" s="10"/>
      <c r="H48" s="10"/>
      <c r="I48" s="10"/>
    </row>
    <row r="49" spans="1:9" x14ac:dyDescent="0.25">
      <c r="A49" s="10"/>
      <c r="B49" s="56" t="s">
        <v>128</v>
      </c>
      <c r="C49" s="1"/>
      <c r="D49" s="61">
        <f>SUM(D45:D48)</f>
        <v>3304.4093438083514</v>
      </c>
      <c r="E49" s="83">
        <f>SUM(E45:E48)</f>
        <v>39652.912125700219</v>
      </c>
      <c r="F49" s="43"/>
      <c r="G49" s="10"/>
      <c r="H49" s="10"/>
      <c r="I49" s="10"/>
    </row>
    <row r="50" spans="1:9" x14ac:dyDescent="0.25">
      <c r="A50" s="10"/>
      <c r="B50" s="44"/>
      <c r="D50" s="55"/>
      <c r="E50" s="54"/>
      <c r="F50" s="43"/>
      <c r="G50" s="10"/>
      <c r="H50" s="10"/>
      <c r="I50" s="10"/>
    </row>
    <row r="51" spans="1:9" x14ac:dyDescent="0.25">
      <c r="A51" s="10"/>
      <c r="B51" s="44" t="s">
        <v>127</v>
      </c>
      <c r="C51" s="44"/>
      <c r="D51" s="50">
        <f>1000/12</f>
        <v>83.333333333333329</v>
      </c>
      <c r="E51" s="53">
        <f>D51*12</f>
        <v>1000</v>
      </c>
      <c r="F51" s="43"/>
      <c r="G51" s="10"/>
      <c r="H51" s="10"/>
      <c r="I51" s="10"/>
    </row>
    <row r="52" spans="1:9" x14ac:dyDescent="0.25">
      <c r="A52" s="10"/>
      <c r="B52" s="44" t="s">
        <v>18</v>
      </c>
      <c r="C52" s="81">
        <v>0.06</v>
      </c>
      <c r="D52" s="52">
        <f>(H24-D54)*C52</f>
        <v>103.30499999999999</v>
      </c>
      <c r="E52" s="53">
        <f>D52*12</f>
        <v>1239.6599999999999</v>
      </c>
      <c r="F52" s="43"/>
      <c r="G52" s="10"/>
      <c r="H52" s="10"/>
      <c r="I52" s="10"/>
    </row>
    <row r="53" spans="1:9" x14ac:dyDescent="0.25">
      <c r="A53" s="10"/>
      <c r="B53" s="44" t="s">
        <v>131</v>
      </c>
      <c r="C53" s="81">
        <v>0.5</v>
      </c>
      <c r="D53" s="52">
        <f>(C53*H24)/18</f>
        <v>49.305555555555557</v>
      </c>
      <c r="E53" s="53">
        <f>D53*12</f>
        <v>591.66666666666674</v>
      </c>
      <c r="F53" s="43"/>
      <c r="G53" s="10"/>
      <c r="H53" s="10"/>
      <c r="I53" s="10"/>
    </row>
    <row r="54" spans="1:9" x14ac:dyDescent="0.25">
      <c r="A54" s="10"/>
      <c r="B54" s="44" t="s">
        <v>20</v>
      </c>
      <c r="C54" s="81">
        <v>0.03</v>
      </c>
      <c r="D54" s="52">
        <f>C54*H24</f>
        <v>53.25</v>
      </c>
      <c r="E54" s="53">
        <f>D54*12</f>
        <v>639</v>
      </c>
      <c r="F54" s="43"/>
      <c r="G54" s="10"/>
      <c r="H54" s="10"/>
      <c r="I54" s="10"/>
    </row>
    <row r="55" spans="1:9" x14ac:dyDescent="0.25">
      <c r="A55" s="10"/>
      <c r="B55" s="44" t="s">
        <v>21</v>
      </c>
      <c r="C55" s="81">
        <v>0.03</v>
      </c>
      <c r="D55" s="52">
        <f>C55*H24</f>
        <v>53.25</v>
      </c>
      <c r="E55" s="53">
        <f>D55*12</f>
        <v>639</v>
      </c>
      <c r="F55" s="43"/>
      <c r="G55" s="10"/>
      <c r="H55" s="10"/>
      <c r="I55" s="10"/>
    </row>
    <row r="56" spans="1:9" x14ac:dyDescent="0.25">
      <c r="A56" s="10"/>
      <c r="B56" s="56" t="s">
        <v>117</v>
      </c>
      <c r="C56" s="56"/>
      <c r="D56" s="58">
        <f>SUM(D49:D55)</f>
        <v>3646.8532326972404</v>
      </c>
      <c r="E56" s="58">
        <f>SUM(E49:E55)</f>
        <v>43762.238792366879</v>
      </c>
      <c r="F56" s="43"/>
      <c r="G56" s="10"/>
      <c r="H56" s="10"/>
      <c r="I56" s="10"/>
    </row>
    <row r="57" spans="1:9" x14ac:dyDescent="0.25">
      <c r="A57" s="10"/>
      <c r="B57" s="56"/>
      <c r="C57" s="10"/>
      <c r="D57" s="87"/>
      <c r="E57" s="87"/>
      <c r="F57" s="43"/>
      <c r="G57" s="10"/>
      <c r="H57" s="10"/>
      <c r="I57" s="10"/>
    </row>
    <row r="58" spans="1:9" x14ac:dyDescent="0.25">
      <c r="A58" s="10"/>
      <c r="B58" s="56"/>
      <c r="C58" s="10"/>
      <c r="D58" s="87"/>
      <c r="E58" s="87"/>
      <c r="F58" s="43"/>
      <c r="G58" s="10"/>
      <c r="H58" s="10"/>
      <c r="I58" s="10"/>
    </row>
    <row r="59" spans="1:9" x14ac:dyDescent="0.25">
      <c r="A59" s="10"/>
      <c r="B59" s="18" t="s">
        <v>69</v>
      </c>
      <c r="C59" s="18"/>
      <c r="D59" s="17"/>
      <c r="E59" s="16"/>
      <c r="F59" s="10"/>
      <c r="G59" s="10"/>
      <c r="H59" s="10"/>
      <c r="I59" s="10"/>
    </row>
    <row r="60" spans="1:9" ht="55.9" customHeight="1" x14ac:dyDescent="0.25">
      <c r="A60" s="10"/>
      <c r="B60" s="109" t="s">
        <v>70</v>
      </c>
      <c r="C60" s="109"/>
      <c r="D60" s="109"/>
      <c r="E60" s="109"/>
      <c r="F60" s="109"/>
      <c r="G60" s="109"/>
      <c r="H60" s="109"/>
      <c r="I60" s="109"/>
    </row>
    <row r="61" spans="1:9" ht="18" x14ac:dyDescent="0.25">
      <c r="A61" s="10"/>
      <c r="B61" s="108" t="s">
        <v>71</v>
      </c>
      <c r="C61" s="108"/>
      <c r="D61" s="108"/>
      <c r="E61" s="108"/>
      <c r="F61" s="108"/>
      <c r="G61" s="108"/>
      <c r="H61" s="108"/>
      <c r="I61" s="108"/>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row r="69" spans="6:6" x14ac:dyDescent="0.25">
      <c r="F69" s="10"/>
    </row>
  </sheetData>
  <sheetProtection selectLockedCells="1"/>
  <mergeCells count="6">
    <mergeCell ref="B61:I61"/>
    <mergeCell ref="B60:I60"/>
    <mergeCell ref="B1:I1"/>
    <mergeCell ref="B2:I2"/>
    <mergeCell ref="B3:I3"/>
    <mergeCell ref="B4:I4"/>
  </mergeCell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D145C42-4DA8-4B53-8E16-A650A69D3554}">
          <x14:formula1>
            <xm:f>DAta!$A$2:$A$23</xm:f>
          </x14:formula1>
          <xm:sqref>C35</xm:sqref>
        </x14:dataValidation>
        <x14:dataValidation type="list" allowBlank="1" showInputMessage="1" showErrorMessage="1" xr:uid="{78EA05F8-9551-4453-865B-AE6AA2E044AA}">
          <x14:formula1>
            <xm:f>DAta!$C$2:$C$11</xm:f>
          </x14:formula1>
          <xm:sqref>C54</xm:sqref>
        </x14:dataValidation>
        <x14:dataValidation type="list" allowBlank="1" showInputMessage="1" showErrorMessage="1" xr:uid="{4A93B6CD-B338-45C7-B425-89FF9464AD9E}">
          <x14:formula1>
            <xm:f>DAta!$E$2:$E$11</xm:f>
          </x14:formula1>
          <xm:sqref>C55</xm:sqref>
        </x14:dataValidation>
        <x14:dataValidation type="list" allowBlank="1" showInputMessage="1" showErrorMessage="1" xr:uid="{E43978D7-47AE-4B52-A406-915F8A794452}">
          <x14:formula1>
            <xm:f>DAta!$H$2:$H$31</xm:f>
          </x14:formula1>
          <xm:sqref>H31</xm:sqref>
        </x14:dataValidation>
        <x14:dataValidation type="list" allowBlank="1" showInputMessage="1" showErrorMessage="1" xr:uid="{C81CACBD-755A-487D-8C73-B1DF00AE9602}">
          <x14:formula1>
            <xm:f>DAta!$F$2:$F$12</xm:f>
          </x14:formula1>
          <xm:sqref>C52</xm:sqref>
        </x14:dataValidation>
        <x14:dataValidation type="list" allowBlank="1" showInputMessage="1" showErrorMessage="1" xr:uid="{C28D86BE-7283-47DE-B2DB-52AE6FA46654}">
          <x14:formula1>
            <xm:f>DAta!$H$2:$H$7</xm:f>
          </x14:formula1>
          <xm:sqref>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144C-EF48-4C59-BF01-2FEB3ECCCD4C}">
  <sheetPr codeName="Sheet2"/>
  <dimension ref="A1:C31"/>
  <sheetViews>
    <sheetView topLeftCell="A3" workbookViewId="0">
      <selection activeCell="G26" sqref="G26"/>
    </sheetView>
  </sheetViews>
  <sheetFormatPr defaultRowHeight="15" x14ac:dyDescent="0.25"/>
  <cols>
    <col min="1" max="1" width="40.28515625" bestFit="1" customWidth="1"/>
    <col min="2" max="2" width="4.85546875" customWidth="1"/>
    <col min="3" max="3" width="17.28515625" bestFit="1" customWidth="1"/>
    <col min="5" max="5" width="11" bestFit="1" customWidth="1"/>
    <col min="7" max="7" width="11" bestFit="1" customWidth="1"/>
  </cols>
  <sheetData>
    <row r="1" spans="1:3" ht="15.75" customHeight="1" x14ac:dyDescent="0.25">
      <c r="A1" s="7" t="s">
        <v>36</v>
      </c>
      <c r="B1" s="7"/>
      <c r="C1" s="7"/>
    </row>
    <row r="2" spans="1:3" ht="15.75" customHeight="1" x14ac:dyDescent="0.25">
      <c r="A2" s="69"/>
      <c r="B2" s="69"/>
      <c r="C2" s="69"/>
    </row>
    <row r="3" spans="1:3" ht="15.75" x14ac:dyDescent="0.25">
      <c r="A3" s="17" t="s">
        <v>37</v>
      </c>
      <c r="B3" s="11"/>
      <c r="C3" s="21">
        <v>895</v>
      </c>
    </row>
    <row r="4" spans="1:3" x14ac:dyDescent="0.25">
      <c r="A4" s="17" t="s">
        <v>38</v>
      </c>
      <c r="B4" s="13"/>
      <c r="C4" s="21">
        <v>605</v>
      </c>
    </row>
    <row r="5" spans="1:3" x14ac:dyDescent="0.25">
      <c r="A5" s="17" t="s">
        <v>39</v>
      </c>
      <c r="B5" s="10"/>
      <c r="C5" s="21">
        <v>70</v>
      </c>
    </row>
    <row r="6" spans="1:3" ht="15.75" x14ac:dyDescent="0.25">
      <c r="A6" s="24" t="s">
        <v>40</v>
      </c>
      <c r="B6" s="11"/>
      <c r="C6" s="27">
        <f>SUM(C3:C5)</f>
        <v>1570</v>
      </c>
    </row>
    <row r="7" spans="1:3" ht="15.75" x14ac:dyDescent="0.25">
      <c r="A7" s="11"/>
      <c r="B7" s="11"/>
      <c r="C7" s="25"/>
    </row>
    <row r="8" spans="1:3" ht="15.75" x14ac:dyDescent="0.25">
      <c r="A8" s="17" t="str">
        <f>IF(K25="No","Appraisal Pd Outside of Closing","Appraisal Fee ")</f>
        <v xml:space="preserve">Appraisal Fee </v>
      </c>
      <c r="B8" s="11"/>
      <c r="C8" s="21">
        <v>675</v>
      </c>
    </row>
    <row r="9" spans="1:3" ht="15.75" x14ac:dyDescent="0.25">
      <c r="A9" s="17" t="s">
        <v>41</v>
      </c>
      <c r="B9" s="11"/>
      <c r="C9" s="21">
        <v>100</v>
      </c>
    </row>
    <row r="10" spans="1:3" ht="15.75" x14ac:dyDescent="0.25">
      <c r="A10" s="17" t="s">
        <v>42</v>
      </c>
      <c r="B10" s="11"/>
      <c r="C10" s="21">
        <v>94</v>
      </c>
    </row>
    <row r="11" spans="1:3" ht="15.75" x14ac:dyDescent="0.25">
      <c r="A11" s="17" t="s">
        <v>43</v>
      </c>
      <c r="B11" s="11"/>
      <c r="C11" s="21">
        <v>142</v>
      </c>
    </row>
    <row r="12" spans="1:3" ht="15.75" x14ac:dyDescent="0.25">
      <c r="A12" s="17" t="s">
        <v>44</v>
      </c>
      <c r="B12" s="11"/>
      <c r="C12" s="21">
        <v>950</v>
      </c>
    </row>
    <row r="13" spans="1:3" ht="15.75" x14ac:dyDescent="0.25">
      <c r="A13" s="17" t="s">
        <v>45</v>
      </c>
      <c r="B13" s="11"/>
      <c r="C13" s="21">
        <v>2940</v>
      </c>
    </row>
    <row r="14" spans="1:3" ht="15.75" x14ac:dyDescent="0.25">
      <c r="A14" s="17" t="s">
        <v>46</v>
      </c>
      <c r="B14" s="11"/>
      <c r="C14" s="21">
        <v>560.44000000000005</v>
      </c>
    </row>
    <row r="15" spans="1:3" ht="15.75" x14ac:dyDescent="0.25">
      <c r="A15" s="17" t="s">
        <v>47</v>
      </c>
      <c r="B15" s="11"/>
      <c r="C15" s="21">
        <v>800</v>
      </c>
    </row>
    <row r="16" spans="1:3" ht="15.75" x14ac:dyDescent="0.25">
      <c r="A16" s="24" t="s">
        <v>48</v>
      </c>
      <c r="B16" s="19"/>
      <c r="C16" s="27">
        <f>SUM(C6:C15)</f>
        <v>7831.4400000000005</v>
      </c>
    </row>
    <row r="17" spans="1:3" ht="15.75" x14ac:dyDescent="0.25">
      <c r="A17" s="12"/>
      <c r="B17" s="19"/>
      <c r="C17" s="26"/>
    </row>
    <row r="18" spans="1:3" x14ac:dyDescent="0.25">
      <c r="A18" s="17" t="s">
        <v>75</v>
      </c>
      <c r="B18" s="10"/>
      <c r="C18" s="21">
        <f>(('With Loan'!D40*'With Loan'!D41)/365)*15</f>
        <v>535.05770547945212</v>
      </c>
    </row>
    <row r="19" spans="1:3" x14ac:dyDescent="0.25">
      <c r="A19" s="17" t="s">
        <v>49</v>
      </c>
      <c r="B19" s="10"/>
      <c r="C19" s="21">
        <f>'With Loan'!E47</f>
        <v>1260</v>
      </c>
    </row>
    <row r="20" spans="1:3" x14ac:dyDescent="0.25">
      <c r="A20" s="17" t="s">
        <v>50</v>
      </c>
      <c r="B20" s="10"/>
      <c r="C20" s="21">
        <f>((C19+'With Loan'!E46)/12)*3</f>
        <v>2550.3631952850001</v>
      </c>
    </row>
    <row r="21" spans="1:3" ht="15.75" x14ac:dyDescent="0.25">
      <c r="A21" s="24" t="s">
        <v>51</v>
      </c>
      <c r="B21" s="19"/>
      <c r="C21" s="27">
        <f>SUM(C18:C20)</f>
        <v>4345.4209007644522</v>
      </c>
    </row>
    <row r="22" spans="1:3" ht="15.75" x14ac:dyDescent="0.25">
      <c r="A22" s="11"/>
      <c r="B22" s="10"/>
      <c r="C22" s="20"/>
    </row>
    <row r="23" spans="1:3" ht="15.75" x14ac:dyDescent="0.25">
      <c r="A23" s="24" t="s">
        <v>52</v>
      </c>
      <c r="B23" s="19"/>
      <c r="C23" s="27">
        <f>C21+C16</f>
        <v>12176.860900764452</v>
      </c>
    </row>
    <row r="24" spans="1:3" x14ac:dyDescent="0.25">
      <c r="A24" s="10"/>
      <c r="B24" s="10"/>
      <c r="C24" s="10"/>
    </row>
    <row r="25" spans="1:3" x14ac:dyDescent="0.25">
      <c r="A25" s="28" t="s">
        <v>53</v>
      </c>
      <c r="B25" s="10"/>
      <c r="C25" s="22" t="s">
        <v>54</v>
      </c>
    </row>
    <row r="26" spans="1:3" ht="15.75" x14ac:dyDescent="0.25">
      <c r="A26" s="14" t="s">
        <v>55</v>
      </c>
      <c r="B26" s="10"/>
      <c r="C26" s="23"/>
    </row>
    <row r="27" spans="1:3" x14ac:dyDescent="0.25">
      <c r="A27" s="10"/>
      <c r="B27" s="10"/>
      <c r="C27" s="10"/>
    </row>
    <row r="28" spans="1:3" ht="15.75" x14ac:dyDescent="0.25">
      <c r="A28" s="24" t="s">
        <v>56</v>
      </c>
      <c r="B28" s="10"/>
      <c r="C28" s="27">
        <f>IF(C25="Yes",C26,C23)</f>
        <v>12176.860900764452</v>
      </c>
    </row>
    <row r="31" spans="1:3" x14ac:dyDescent="0.25">
      <c r="C31" s="15"/>
    </row>
  </sheetData>
  <protectedRanges>
    <protectedRange sqref="C6:C7" name="Range1_3"/>
  </protectedRange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6F6416-0D3A-477F-9AA9-2FEA442B5FC7}">
          <x14:formula1>
            <xm:f>DAta!$J$2:$J$3</xm:f>
          </x14:formula1>
          <xm:sqref>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670D-753F-41D5-9D46-B694A30EF4E1}">
  <dimension ref="A1:G363"/>
  <sheetViews>
    <sheetView workbookViewId="0">
      <selection activeCell="F4" sqref="F4:F363"/>
    </sheetView>
  </sheetViews>
  <sheetFormatPr defaultRowHeight="15" x14ac:dyDescent="0.25"/>
  <cols>
    <col min="2" max="2" width="17.28515625" bestFit="1" customWidth="1"/>
    <col min="3" max="3" width="23.5703125" bestFit="1" customWidth="1"/>
    <col min="4" max="4" width="23.5703125" customWidth="1"/>
    <col min="5" max="5" width="17.28515625" bestFit="1" customWidth="1"/>
    <col min="6" max="6" width="16.28515625" bestFit="1" customWidth="1"/>
    <col min="7" max="7" width="26.5703125" bestFit="1" customWidth="1"/>
  </cols>
  <sheetData>
    <row r="1" spans="1:7" ht="18.75" x14ac:dyDescent="0.3">
      <c r="A1" s="112" t="s">
        <v>61</v>
      </c>
      <c r="B1" s="112"/>
      <c r="C1" s="112"/>
      <c r="D1" s="5"/>
      <c r="E1" s="5"/>
    </row>
    <row r="2" spans="1:7" x14ac:dyDescent="0.25">
      <c r="E2" s="15"/>
    </row>
    <row r="3" spans="1:7" x14ac:dyDescent="0.25">
      <c r="A3" s="1" t="s">
        <v>62</v>
      </c>
      <c r="B3" s="1" t="s">
        <v>63</v>
      </c>
      <c r="C3" s="1" t="s">
        <v>64</v>
      </c>
      <c r="D3" s="1" t="s">
        <v>65</v>
      </c>
      <c r="E3" s="1" t="s">
        <v>66</v>
      </c>
      <c r="F3" s="1" t="s">
        <v>80</v>
      </c>
      <c r="G3" s="1" t="s">
        <v>81</v>
      </c>
    </row>
    <row r="4" spans="1:7" x14ac:dyDescent="0.25">
      <c r="A4">
        <v>1</v>
      </c>
      <c r="B4" s="4">
        <f>-PPMT('Owner Occupier'!$D$41/12,'FHA Amotization'!$A4,360,'Owner Occupier'!$D$40,0,0)</f>
        <v>659.42446621335114</v>
      </c>
      <c r="C4" s="4">
        <f>-IPMT('Owner Occupier'!$D$41/12,'FHA Amotization'!$A4,360,'Owner Occupier'!$D$40,0,0)</f>
        <v>1695.14915625</v>
      </c>
      <c r="D4" s="4">
        <f>B4+C4</f>
        <v>2354.5736224633511</v>
      </c>
      <c r="E4" s="4">
        <f>'Owner Occupier'!$D$40-'FHA Amotization'!B4</f>
        <v>477970.92553378665</v>
      </c>
      <c r="F4" s="4">
        <f>('Owner Occupier'!$H$24-'Owner Occupier'!$D$52)/('Owner Occupier'!$D$56-'Owner Occupier'!$D$52)*B4</f>
        <v>311.08835287602329</v>
      </c>
      <c r="G4" s="4">
        <f>F4</f>
        <v>311.08835287602329</v>
      </c>
    </row>
    <row r="5" spans="1:7" x14ac:dyDescent="0.25">
      <c r="A5">
        <v>2</v>
      </c>
      <c r="B5" s="4">
        <f>-PPMT('Owner Occupier'!$D$41/12,'FHA Amotization'!$A5,360,'Owner Occupier'!$D$40,0,0)</f>
        <v>661.75992786452343</v>
      </c>
      <c r="C5" s="4">
        <f>-IPMT('Owner Occupier'!$D$41/12,'FHA Amotization'!$A5,360,'Owner Occupier'!$D$40,0,0)</f>
        <v>1692.8136945988279</v>
      </c>
      <c r="D5" s="4">
        <f t="shared" ref="D5:D68" si="0">B5+C5</f>
        <v>2354.5736224633511</v>
      </c>
      <c r="E5" s="3">
        <f>E4-B5</f>
        <v>477309.16560592211</v>
      </c>
      <c r="F5" s="4">
        <f>('Owner Occupier'!$H$24-'Owner Occupier'!$D$52)/('Owner Occupier'!$D$56-'Owner Occupier'!$D$52)*B5</f>
        <v>312.19012412579258</v>
      </c>
      <c r="G5" s="4">
        <f>F5+G4</f>
        <v>623.27847700181587</v>
      </c>
    </row>
    <row r="6" spans="1:7" x14ac:dyDescent="0.25">
      <c r="A6">
        <v>3</v>
      </c>
      <c r="B6" s="4">
        <f>-PPMT('Owner Occupier'!$D$41/12,'FHA Amotization'!$A6,360,'Owner Occupier'!$D$40,0,0)</f>
        <v>664.10366094237691</v>
      </c>
      <c r="C6" s="4">
        <f>-IPMT('Owner Occupier'!$D$41/12,'FHA Amotization'!$A6,360,'Owner Occupier'!$D$40,0,0)</f>
        <v>1690.4699615209743</v>
      </c>
      <c r="D6" s="4">
        <f t="shared" si="0"/>
        <v>2354.5736224633511</v>
      </c>
      <c r="E6" s="3">
        <f t="shared" ref="E6:E69" si="1">E5-B6</f>
        <v>476645.06194497971</v>
      </c>
      <c r="F6" s="4">
        <f>('Owner Occupier'!$H$24-'Owner Occupier'!$D$52)/('Owner Occupier'!$D$56-'Owner Occupier'!$D$52)*B6</f>
        <v>313.29579748207141</v>
      </c>
      <c r="G6" s="4">
        <f t="shared" ref="G6:G69" si="2">F6+G5</f>
        <v>936.57427448388728</v>
      </c>
    </row>
    <row r="7" spans="1:7" x14ac:dyDescent="0.25">
      <c r="A7">
        <v>4</v>
      </c>
      <c r="B7" s="4">
        <f>-PPMT('Owner Occupier'!$D$41/12,'FHA Amotization'!$A7,360,'Owner Occupier'!$D$40,0,0)</f>
        <v>666.45569474154775</v>
      </c>
      <c r="C7" s="4">
        <f>-IPMT('Owner Occupier'!$D$41/12,'FHA Amotization'!$A7,360,'Owner Occupier'!$D$40,0,0)</f>
        <v>1688.1179277218034</v>
      </c>
      <c r="D7" s="4">
        <f t="shared" si="0"/>
        <v>2354.5736224633511</v>
      </c>
      <c r="E7" s="3">
        <f t="shared" si="1"/>
        <v>475978.60625023814</v>
      </c>
      <c r="F7" s="4">
        <f>('Owner Occupier'!$H$24-'Owner Occupier'!$D$52)/('Owner Occupier'!$D$56-'Owner Occupier'!$D$52)*B7</f>
        <v>314.40538676482038</v>
      </c>
      <c r="G7" s="4">
        <f t="shared" si="2"/>
        <v>1250.9796612487075</v>
      </c>
    </row>
    <row r="8" spans="1:7" x14ac:dyDescent="0.25">
      <c r="A8">
        <v>5</v>
      </c>
      <c r="B8" s="4">
        <f>-PPMT('Owner Occupier'!$D$41/12,'FHA Amotization'!$A8,360,'Owner Occupier'!$D$40,0,0)</f>
        <v>668.81605866042412</v>
      </c>
      <c r="C8" s="4">
        <f>-IPMT('Owner Occupier'!$D$41/12,'FHA Amotization'!$A8,360,'Owner Occupier'!$D$40,0,0)</f>
        <v>1685.7575638029271</v>
      </c>
      <c r="D8" s="4">
        <f t="shared" si="0"/>
        <v>2354.5736224633511</v>
      </c>
      <c r="E8" s="3">
        <f t="shared" si="1"/>
        <v>475309.79019157769</v>
      </c>
      <c r="F8" s="4">
        <f>('Owner Occupier'!$H$24-'Owner Occupier'!$D$52)/('Owner Occupier'!$D$56-'Owner Occupier'!$D$52)*B8</f>
        <v>315.5189058429458</v>
      </c>
      <c r="G8" s="4">
        <f t="shared" si="2"/>
        <v>1566.4985670916533</v>
      </c>
    </row>
    <row r="9" spans="1:7" x14ac:dyDescent="0.25">
      <c r="A9">
        <v>6</v>
      </c>
      <c r="B9" s="4">
        <f>-PPMT('Owner Occupier'!$D$41/12,'FHA Amotization'!$A9,360,'Owner Occupier'!$D$40,0,0)</f>
        <v>671.18478220151303</v>
      </c>
      <c r="C9" s="4">
        <f>-IPMT('Owner Occupier'!$D$41/12,'FHA Amotization'!$A9,360,'Owner Occupier'!$D$40,0,0)</f>
        <v>1683.3888402618379</v>
      </c>
      <c r="D9" s="4">
        <f t="shared" si="0"/>
        <v>2354.5736224633511</v>
      </c>
      <c r="E9" s="3">
        <f t="shared" si="1"/>
        <v>474638.60540937615</v>
      </c>
      <c r="F9" s="4">
        <f>('Owner Occupier'!$H$24-'Owner Occupier'!$D$52)/('Owner Occupier'!$D$56-'Owner Occupier'!$D$52)*B9</f>
        <v>316.63636863447283</v>
      </c>
      <c r="G9" s="4">
        <f t="shared" si="2"/>
        <v>1883.1349357261261</v>
      </c>
    </row>
    <row r="10" spans="1:7" x14ac:dyDescent="0.25">
      <c r="A10">
        <v>7</v>
      </c>
      <c r="B10" s="4">
        <f>-PPMT('Owner Occupier'!$D$41/12,'FHA Amotization'!$A10,360,'Owner Occupier'!$D$40,0,0)</f>
        <v>673.56189497181015</v>
      </c>
      <c r="C10" s="4">
        <f>-IPMT('Owner Occupier'!$D$41/12,'FHA Amotization'!$A10,360,'Owner Occupier'!$D$40,0,0)</f>
        <v>1681.0117274915408</v>
      </c>
      <c r="D10" s="4">
        <f t="shared" si="0"/>
        <v>2354.5736224633511</v>
      </c>
      <c r="E10" s="3">
        <f t="shared" si="1"/>
        <v>473965.04351440433</v>
      </c>
      <c r="F10" s="4">
        <f>('Owner Occupier'!$H$24-'Owner Occupier'!$D$52)/('Owner Occupier'!$D$56-'Owner Occupier'!$D$52)*B10</f>
        <v>317.75778910672</v>
      </c>
      <c r="G10" s="4">
        <f t="shared" si="2"/>
        <v>2200.8927248328459</v>
      </c>
    </row>
    <row r="11" spans="1:7" x14ac:dyDescent="0.25">
      <c r="A11">
        <v>8</v>
      </c>
      <c r="B11" s="4">
        <f>-PPMT('Owner Occupier'!$D$41/12,'FHA Amotization'!$A11,360,'Owner Occupier'!$D$40,0,0)</f>
        <v>675.9474266831686</v>
      </c>
      <c r="C11" s="4">
        <f>-IPMT('Owner Occupier'!$D$41/12,'FHA Amotization'!$A11,360,'Owner Occupier'!$D$40,0,0)</f>
        <v>1678.6261957801826</v>
      </c>
      <c r="D11" s="4">
        <f t="shared" si="0"/>
        <v>2354.5736224633511</v>
      </c>
      <c r="E11" s="3">
        <f t="shared" si="1"/>
        <v>473289.09608772118</v>
      </c>
      <c r="F11" s="4">
        <f>('Owner Occupier'!$H$24-'Owner Occupier'!$D$52)/('Owner Occupier'!$D$56-'Owner Occupier'!$D$52)*B11</f>
        <v>318.88318127647295</v>
      </c>
      <c r="G11" s="4">
        <f t="shared" si="2"/>
        <v>2519.7759061093188</v>
      </c>
    </row>
    <row r="12" spans="1:7" x14ac:dyDescent="0.25">
      <c r="A12">
        <v>9</v>
      </c>
      <c r="B12" s="4">
        <f>-PPMT('Owner Occupier'!$D$41/12,'FHA Amotization'!$A12,360,'Owner Occupier'!$D$40,0,0)</f>
        <v>678.34140715267165</v>
      </c>
      <c r="C12" s="4">
        <f>-IPMT('Owner Occupier'!$D$41/12,'FHA Amotization'!$A12,360,'Owner Occupier'!$D$40,0,0)</f>
        <v>1676.2322153106797</v>
      </c>
      <c r="D12" s="4">
        <f t="shared" si="0"/>
        <v>2354.5736224633515</v>
      </c>
      <c r="E12" s="3">
        <f t="shared" si="1"/>
        <v>472610.75468056853</v>
      </c>
      <c r="F12" s="4">
        <f>('Owner Occupier'!$H$24-'Owner Occupier'!$D$52)/('Owner Occupier'!$D$56-'Owner Occupier'!$D$52)*B12</f>
        <v>320.01255921016053</v>
      </c>
      <c r="G12" s="4">
        <f t="shared" si="2"/>
        <v>2839.7884653194792</v>
      </c>
    </row>
    <row r="13" spans="1:7" x14ac:dyDescent="0.25">
      <c r="A13">
        <v>10</v>
      </c>
      <c r="B13" s="4">
        <f>-PPMT('Owner Occupier'!$D$41/12,'FHA Amotization'!$A13,360,'Owner Occupier'!$D$40,0,0)</f>
        <v>680.74386630300398</v>
      </c>
      <c r="C13" s="4">
        <f>-IPMT('Owner Occupier'!$D$41/12,'FHA Amotization'!$A13,360,'Owner Occupier'!$D$40,0,0)</f>
        <v>1673.8297561603474</v>
      </c>
      <c r="D13" s="4">
        <f t="shared" si="0"/>
        <v>2354.5736224633515</v>
      </c>
      <c r="E13" s="3">
        <f t="shared" si="1"/>
        <v>471930.01081426552</v>
      </c>
      <c r="F13" s="4">
        <f>('Owner Occupier'!$H$24-'Owner Occupier'!$D$52)/('Owner Occupier'!$D$56-'Owner Occupier'!$D$52)*B13</f>
        <v>321.14593702402982</v>
      </c>
      <c r="G13" s="4">
        <f t="shared" si="2"/>
        <v>3160.9344023435092</v>
      </c>
    </row>
    <row r="14" spans="1:7" x14ac:dyDescent="0.25">
      <c r="A14">
        <v>11</v>
      </c>
      <c r="B14" s="4">
        <f>-PPMT('Owner Occupier'!$D$41/12,'FHA Amotization'!$A14,360,'Owner Occupier'!$D$40,0,0)</f>
        <v>683.15483416282723</v>
      </c>
      <c r="C14" s="4">
        <f>-IPMT('Owner Occupier'!$D$41/12,'FHA Amotization'!$A14,360,'Owner Occupier'!$D$40,0,0)</f>
        <v>1671.4187883005238</v>
      </c>
      <c r="D14" s="4">
        <f t="shared" si="0"/>
        <v>2354.5736224633511</v>
      </c>
      <c r="E14" s="3">
        <f t="shared" si="1"/>
        <v>471246.85598010267</v>
      </c>
      <c r="F14" s="4">
        <f>('Owner Occupier'!$H$24-'Owner Occupier'!$D$52)/('Owner Occupier'!$D$56-'Owner Occupier'!$D$52)*B14</f>
        <v>322.28332888432328</v>
      </c>
      <c r="G14" s="4">
        <f t="shared" si="2"/>
        <v>3483.2177312278327</v>
      </c>
    </row>
    <row r="15" spans="1:7" x14ac:dyDescent="0.25">
      <c r="A15">
        <v>12</v>
      </c>
      <c r="B15" s="4">
        <f>-PPMT('Owner Occupier'!$D$41/12,'FHA Amotization'!$A15,360,'Owner Occupier'!$D$40,0,0)</f>
        <v>685.57434086715375</v>
      </c>
      <c r="C15" s="4">
        <f>-IPMT('Owner Occupier'!$D$41/12,'FHA Amotization'!$A15,360,'Owner Occupier'!$D$40,0,0)</f>
        <v>1668.9992815961973</v>
      </c>
      <c r="D15" s="4">
        <f t="shared" si="0"/>
        <v>2354.5736224633511</v>
      </c>
      <c r="E15" s="3">
        <f t="shared" si="1"/>
        <v>470561.2816392355</v>
      </c>
      <c r="F15" s="4">
        <f>('Owner Occupier'!$H$24-'Owner Occupier'!$D$52)/('Owner Occupier'!$D$56-'Owner Occupier'!$D$52)*B15</f>
        <v>323.4247490074552</v>
      </c>
      <c r="G15" s="4">
        <f t="shared" si="2"/>
        <v>3806.6424802352881</v>
      </c>
    </row>
    <row r="16" spans="1:7" x14ac:dyDescent="0.25">
      <c r="A16">
        <v>13</v>
      </c>
      <c r="B16" s="4">
        <f>-PPMT('Owner Occupier'!$D$41/12,'FHA Amotization'!$A16,360,'Owner Occupier'!$D$40,0,0)</f>
        <v>688.00241665772501</v>
      </c>
      <c r="C16" s="4">
        <f>-IPMT('Owner Occupier'!$D$41/12,'FHA Amotization'!$A16,360,'Owner Occupier'!$D$40,0,0)</f>
        <v>1666.5712058056263</v>
      </c>
      <c r="D16" s="4">
        <f t="shared" si="0"/>
        <v>2354.5736224633511</v>
      </c>
      <c r="E16" s="3">
        <f t="shared" si="1"/>
        <v>469873.27922257775</v>
      </c>
      <c r="F16" s="4">
        <f>('Owner Occupier'!$H$24-'Owner Occupier'!$D$52)/('Owner Occupier'!$D$56-'Owner Occupier'!$D$52)*B16</f>
        <v>324.57021166018995</v>
      </c>
      <c r="G16" s="4">
        <f t="shared" si="2"/>
        <v>4131.2126918954782</v>
      </c>
    </row>
    <row r="17" spans="1:7" x14ac:dyDescent="0.25">
      <c r="A17">
        <v>14</v>
      </c>
      <c r="B17" s="4">
        <f>-PPMT('Owner Occupier'!$D$41/12,'FHA Amotization'!$A17,360,'Owner Occupier'!$D$40,0,0)</f>
        <v>690.43909188338762</v>
      </c>
      <c r="C17" s="4">
        <f>-IPMT('Owner Occupier'!$D$41/12,'FHA Amotization'!$A17,360,'Owner Occupier'!$D$40,0,0)</f>
        <v>1664.1345305799637</v>
      </c>
      <c r="D17" s="4">
        <f t="shared" si="0"/>
        <v>2354.5736224633511</v>
      </c>
      <c r="E17" s="3">
        <f t="shared" si="1"/>
        <v>469182.84013069439</v>
      </c>
      <c r="F17" s="4">
        <f>('Owner Occupier'!$H$24-'Owner Occupier'!$D$52)/('Owner Occupier'!$D$56-'Owner Occupier'!$D$52)*B17</f>
        <v>325.71973115981973</v>
      </c>
      <c r="G17" s="4">
        <f t="shared" si="2"/>
        <v>4456.9324230552975</v>
      </c>
    </row>
    <row r="18" spans="1:7" x14ac:dyDescent="0.25">
      <c r="A18">
        <v>15</v>
      </c>
      <c r="B18" s="4">
        <f>-PPMT('Owner Occupier'!$D$41/12,'FHA Amotization'!$A18,360,'Owner Occupier'!$D$40,0,0)</f>
        <v>692.88439700047479</v>
      </c>
      <c r="C18" s="4">
        <f>-IPMT('Owner Occupier'!$D$41/12,'FHA Amotization'!$A18,360,'Owner Occupier'!$D$40,0,0)</f>
        <v>1661.6892254628765</v>
      </c>
      <c r="D18" s="4">
        <f t="shared" si="0"/>
        <v>2354.5736224633511</v>
      </c>
      <c r="E18" s="3">
        <f t="shared" si="1"/>
        <v>468489.9557336939</v>
      </c>
      <c r="F18" s="4">
        <f>('Owner Occupier'!$H$24-'Owner Occupier'!$D$52)/('Owner Occupier'!$D$56-'Owner Occupier'!$D$52)*B18</f>
        <v>326.87332187434419</v>
      </c>
      <c r="G18" s="4">
        <f t="shared" si="2"/>
        <v>4783.8057449296421</v>
      </c>
    </row>
    <row r="19" spans="1:7" x14ac:dyDescent="0.25">
      <c r="A19">
        <v>16</v>
      </c>
      <c r="B19" s="4">
        <f>-PPMT('Owner Occupier'!$D$41/12,'FHA Amotization'!$A19,360,'Owner Occupier'!$D$40,0,0)</f>
        <v>695.33836257318467</v>
      </c>
      <c r="C19" s="4">
        <f>-IPMT('Owner Occupier'!$D$41/12,'FHA Amotization'!$A19,360,'Owner Occupier'!$D$40,0,0)</f>
        <v>1659.2352598901664</v>
      </c>
      <c r="D19" s="4">
        <f t="shared" si="0"/>
        <v>2354.5736224633511</v>
      </c>
      <c r="E19" s="3">
        <f t="shared" si="1"/>
        <v>467794.61737112072</v>
      </c>
      <c r="F19" s="4">
        <f>('Owner Occupier'!$H$24-'Owner Occupier'!$D$52)/('Owner Occupier'!$D$56-'Owner Occupier'!$D$52)*B19</f>
        <v>328.03099822264909</v>
      </c>
      <c r="G19" s="4">
        <f t="shared" si="2"/>
        <v>5111.8367431522911</v>
      </c>
    </row>
    <row r="20" spans="1:7" x14ac:dyDescent="0.25">
      <c r="A20">
        <v>17</v>
      </c>
      <c r="B20" s="4">
        <f>-PPMT('Owner Occupier'!$D$41/12,'FHA Amotization'!$A20,360,'Owner Occupier'!$D$40,0,0)</f>
        <v>697.80101927396481</v>
      </c>
      <c r="C20" s="4">
        <f>-IPMT('Owner Occupier'!$D$41/12,'FHA Amotization'!$A20,360,'Owner Occupier'!$D$40,0,0)</f>
        <v>1656.7726031893862</v>
      </c>
      <c r="D20" s="4">
        <f t="shared" si="0"/>
        <v>2354.5736224633511</v>
      </c>
      <c r="E20" s="3">
        <f t="shared" si="1"/>
        <v>467096.81635184673</v>
      </c>
      <c r="F20" s="4">
        <f>('Owner Occupier'!$H$24-'Owner Occupier'!$D$52)/('Owner Occupier'!$D$56-'Owner Occupier'!$D$52)*B20</f>
        <v>329.19277467468771</v>
      </c>
      <c r="G20" s="4">
        <f t="shared" si="2"/>
        <v>5441.0295178269789</v>
      </c>
    </row>
    <row r="21" spans="1:7" x14ac:dyDescent="0.25">
      <c r="A21">
        <v>18</v>
      </c>
      <c r="B21" s="4">
        <f>-PPMT('Owner Occupier'!$D$41/12,'FHA Amotization'!$A21,360,'Owner Occupier'!$D$40,0,0)</f>
        <v>700.27239788389329</v>
      </c>
      <c r="C21" s="4">
        <f>-IPMT('Owner Occupier'!$D$41/12,'FHA Amotization'!$A21,360,'Owner Occupier'!$D$40,0,0)</f>
        <v>1654.301224579458</v>
      </c>
      <c r="D21" s="4">
        <f t="shared" si="0"/>
        <v>2354.5736224633511</v>
      </c>
      <c r="E21" s="3">
        <f t="shared" si="1"/>
        <v>466396.54395396286</v>
      </c>
      <c r="F21" s="4">
        <f>('Owner Occupier'!$H$24-'Owner Occupier'!$D$52)/('Owner Occupier'!$D$56-'Owner Occupier'!$D$52)*B21</f>
        <v>330.35866575166045</v>
      </c>
      <c r="G21" s="4">
        <f t="shared" si="2"/>
        <v>5771.3881835786397</v>
      </c>
    </row>
    <row r="22" spans="1:7" x14ac:dyDescent="0.25">
      <c r="A22">
        <v>19</v>
      </c>
      <c r="B22" s="4">
        <f>-PPMT('Owner Occupier'!$D$41/12,'FHA Amotization'!$A22,360,'Owner Occupier'!$D$40,0,0)</f>
        <v>702.75252929306555</v>
      </c>
      <c r="C22" s="4">
        <f>-IPMT('Owner Occupier'!$D$41/12,'FHA Amotization'!$A22,360,'Owner Occupier'!$D$40,0,0)</f>
        <v>1651.8210931702856</v>
      </c>
      <c r="D22" s="4">
        <f t="shared" si="0"/>
        <v>2354.5736224633511</v>
      </c>
      <c r="E22" s="3">
        <f t="shared" si="1"/>
        <v>465693.79142466979</v>
      </c>
      <c r="F22" s="4">
        <f>('Owner Occupier'!$H$24-'Owner Occupier'!$D$52)/('Owner Occupier'!$D$56-'Owner Occupier'!$D$52)*B22</f>
        <v>331.52868602619765</v>
      </c>
      <c r="G22" s="4">
        <f t="shared" si="2"/>
        <v>6102.9168696048373</v>
      </c>
    </row>
    <row r="23" spans="1:7" x14ac:dyDescent="0.25">
      <c r="A23">
        <v>20</v>
      </c>
      <c r="B23" s="4">
        <f>-PPMT('Owner Occupier'!$D$41/12,'FHA Amotization'!$A23,360,'Owner Occupier'!$D$40,0,0)</f>
        <v>705.24144450097856</v>
      </c>
      <c r="C23" s="4">
        <f>-IPMT('Owner Occupier'!$D$41/12,'FHA Amotization'!$A23,360,'Owner Occupier'!$D$40,0,0)</f>
        <v>1649.3321779623727</v>
      </c>
      <c r="D23" s="4">
        <f t="shared" si="0"/>
        <v>2354.5736224633511</v>
      </c>
      <c r="E23" s="3">
        <f t="shared" si="1"/>
        <v>464988.54998016881</v>
      </c>
      <c r="F23" s="4">
        <f>('Owner Occupier'!$H$24-'Owner Occupier'!$D$52)/('Owner Occupier'!$D$56-'Owner Occupier'!$D$52)*B23</f>
        <v>332.7028501225405</v>
      </c>
      <c r="G23" s="4">
        <f t="shared" si="2"/>
        <v>6435.6197197273777</v>
      </c>
    </row>
    <row r="24" spans="1:7" x14ac:dyDescent="0.25">
      <c r="A24">
        <v>21</v>
      </c>
      <c r="B24" s="4">
        <f>-PPMT('Owner Occupier'!$D$41/12,'FHA Amotization'!$A24,360,'Owner Occupier'!$D$40,0,0)</f>
        <v>707.7391746169194</v>
      </c>
      <c r="C24" s="4">
        <f>-IPMT('Owner Occupier'!$D$41/12,'FHA Amotization'!$A24,360,'Owner Occupier'!$D$40,0,0)</f>
        <v>1646.8344478464317</v>
      </c>
      <c r="D24" s="4">
        <f t="shared" si="0"/>
        <v>2354.5736224633511</v>
      </c>
      <c r="E24" s="3">
        <f t="shared" si="1"/>
        <v>464280.81080555188</v>
      </c>
      <c r="F24" s="4">
        <f>('Owner Occupier'!$H$24-'Owner Occupier'!$D$52)/('Owner Occupier'!$D$56-'Owner Occupier'!$D$52)*B24</f>
        <v>333.88117271672445</v>
      </c>
      <c r="G24" s="4">
        <f t="shared" si="2"/>
        <v>6769.5008924441026</v>
      </c>
    </row>
    <row r="25" spans="1:7" x14ac:dyDescent="0.25">
      <c r="A25">
        <v>22</v>
      </c>
      <c r="B25" s="4">
        <f>-PPMT('Owner Occupier'!$D$41/12,'FHA Amotization'!$A25,360,'Owner Occupier'!$D$40,0,0)</f>
        <v>710.24575086035441</v>
      </c>
      <c r="C25" s="4">
        <f>-IPMT('Owner Occupier'!$D$41/12,'FHA Amotization'!$A25,360,'Owner Occupier'!$D$40,0,0)</f>
        <v>1644.3278716029968</v>
      </c>
      <c r="D25" s="4">
        <f t="shared" si="0"/>
        <v>2354.5736224633511</v>
      </c>
      <c r="E25" s="3">
        <f t="shared" si="1"/>
        <v>463570.56505469151</v>
      </c>
      <c r="F25" s="4">
        <f>('Owner Occupier'!$H$24-'Owner Occupier'!$D$52)/('Owner Occupier'!$D$56-'Owner Occupier'!$D$52)*B25</f>
        <v>335.06366853676286</v>
      </c>
      <c r="G25" s="4">
        <f t="shared" si="2"/>
        <v>7104.5645609808653</v>
      </c>
    </row>
    <row r="26" spans="1:7" x14ac:dyDescent="0.25">
      <c r="A26">
        <v>23</v>
      </c>
      <c r="B26" s="4">
        <f>-PPMT('Owner Occupier'!$D$41/12,'FHA Amotization'!$A26,360,'Owner Occupier'!$D$40,0,0)</f>
        <v>712.76120456131821</v>
      </c>
      <c r="C26" s="4">
        <f>-IPMT('Owner Occupier'!$D$41/12,'FHA Amotization'!$A26,360,'Owner Occupier'!$D$40,0,0)</f>
        <v>1641.8124179020331</v>
      </c>
      <c r="D26" s="4">
        <f t="shared" si="0"/>
        <v>2354.5736224633511</v>
      </c>
      <c r="E26" s="3">
        <f t="shared" si="1"/>
        <v>462857.80385013018</v>
      </c>
      <c r="F26" s="4">
        <f>('Owner Occupier'!$H$24-'Owner Occupier'!$D$52)/('Owner Occupier'!$D$56-'Owner Occupier'!$D$52)*B26</f>
        <v>336.2503523628306</v>
      </c>
      <c r="G26" s="4">
        <f t="shared" si="2"/>
        <v>7440.8149133436955</v>
      </c>
    </row>
    <row r="27" spans="1:7" x14ac:dyDescent="0.25">
      <c r="A27">
        <v>24</v>
      </c>
      <c r="B27" s="4">
        <f>-PPMT('Owner Occupier'!$D$41/12,'FHA Amotization'!$A27,360,'Owner Occupier'!$D$40,0,0)</f>
        <v>715.28556716080618</v>
      </c>
      <c r="C27" s="4">
        <f>-IPMT('Owner Occupier'!$D$41/12,'FHA Amotization'!$A27,360,'Owner Occupier'!$D$40,0,0)</f>
        <v>1639.2880553025448</v>
      </c>
      <c r="D27" s="4">
        <f t="shared" si="0"/>
        <v>2354.5736224633511</v>
      </c>
      <c r="E27" s="3">
        <f t="shared" si="1"/>
        <v>462142.51828296937</v>
      </c>
      <c r="F27" s="4">
        <f>('Owner Occupier'!$H$24-'Owner Occupier'!$D$52)/('Owner Occupier'!$D$56-'Owner Occupier'!$D$52)*B27</f>
        <v>337.44123902744894</v>
      </c>
      <c r="G27" s="4">
        <f t="shared" si="2"/>
        <v>7778.2561523711447</v>
      </c>
    </row>
    <row r="28" spans="1:7" x14ac:dyDescent="0.25">
      <c r="A28">
        <v>25</v>
      </c>
      <c r="B28" s="4">
        <f>-PPMT('Owner Occupier'!$D$41/12,'FHA Amotization'!$A28,360,'Owner Occupier'!$D$40,0,0)</f>
        <v>717.81887021116734</v>
      </c>
      <c r="C28" s="4">
        <f>-IPMT('Owner Occupier'!$D$41/12,'FHA Amotization'!$A28,360,'Owner Occupier'!$D$40,0,0)</f>
        <v>1636.7547522521838</v>
      </c>
      <c r="D28" s="4">
        <f t="shared" si="0"/>
        <v>2354.5736224633511</v>
      </c>
      <c r="E28" s="3">
        <f t="shared" si="1"/>
        <v>461424.69941275817</v>
      </c>
      <c r="F28" s="4">
        <f>('Owner Occupier'!$H$24-'Owner Occupier'!$D$52)/('Owner Occupier'!$D$56-'Owner Occupier'!$D$52)*B28</f>
        <v>338.63634341567115</v>
      </c>
      <c r="G28" s="4">
        <f t="shared" si="2"/>
        <v>8116.8924957868157</v>
      </c>
    </row>
    <row r="29" spans="1:7" x14ac:dyDescent="0.25">
      <c r="A29">
        <v>26</v>
      </c>
      <c r="B29" s="4">
        <f>-PPMT('Owner Occupier'!$D$41/12,'FHA Amotization'!$A29,360,'Owner Occupier'!$D$40,0,0)</f>
        <v>720.3611453764986</v>
      </c>
      <c r="C29" s="4">
        <f>-IPMT('Owner Occupier'!$D$41/12,'FHA Amotization'!$A29,360,'Owner Occupier'!$D$40,0,0)</f>
        <v>1634.2124770868527</v>
      </c>
      <c r="D29" s="4">
        <f t="shared" si="0"/>
        <v>2354.5736224633511</v>
      </c>
      <c r="E29" s="3">
        <f t="shared" si="1"/>
        <v>460704.33826738165</v>
      </c>
      <c r="F29" s="4">
        <f>('Owner Occupier'!$H$24-'Owner Occupier'!$D$52)/('Owner Occupier'!$D$56-'Owner Occupier'!$D$52)*B29</f>
        <v>339.8356804652683</v>
      </c>
      <c r="G29" s="4">
        <f t="shared" si="2"/>
        <v>8456.7281762520834</v>
      </c>
    </row>
    <row r="30" spans="1:7" x14ac:dyDescent="0.25">
      <c r="A30">
        <v>27</v>
      </c>
      <c r="B30" s="4">
        <f>-PPMT('Owner Occupier'!$D$41/12,'FHA Amotization'!$A30,360,'Owner Occupier'!$D$40,0,0)</f>
        <v>722.91242443304031</v>
      </c>
      <c r="C30" s="4">
        <f>-IPMT('Owner Occupier'!$D$41/12,'FHA Amotization'!$A30,360,'Owner Occupier'!$D$40,0,0)</f>
        <v>1631.6611980303107</v>
      </c>
      <c r="D30" s="4">
        <f t="shared" si="0"/>
        <v>2354.5736224633511</v>
      </c>
      <c r="E30" s="3">
        <f t="shared" si="1"/>
        <v>459981.42584294861</v>
      </c>
      <c r="F30" s="4">
        <f>('Owner Occupier'!$H$24-'Owner Occupier'!$D$52)/('Owner Occupier'!$D$56-'Owner Occupier'!$D$52)*B30</f>
        <v>341.0392651669161</v>
      </c>
      <c r="G30" s="4">
        <f t="shared" si="2"/>
        <v>8797.7674414189987</v>
      </c>
    </row>
    <row r="31" spans="1:7" x14ac:dyDescent="0.25">
      <c r="A31">
        <v>28</v>
      </c>
      <c r="B31" s="4">
        <f>-PPMT('Owner Occupier'!$D$41/12,'FHA Amotization'!$A31,360,'Owner Occupier'!$D$40,0,0)</f>
        <v>725.47273926957405</v>
      </c>
      <c r="C31" s="4">
        <f>-IPMT('Owner Occupier'!$D$41/12,'FHA Amotization'!$A31,360,'Owner Occupier'!$D$40,0,0)</f>
        <v>1629.1008831937768</v>
      </c>
      <c r="D31" s="4">
        <f t="shared" si="0"/>
        <v>2354.5736224633511</v>
      </c>
      <c r="E31" s="3">
        <f t="shared" si="1"/>
        <v>459255.95310367906</v>
      </c>
      <c r="F31" s="4">
        <f>('Owner Occupier'!$H$24-'Owner Occupier'!$D$52)/('Owner Occupier'!$D$56-'Owner Occupier'!$D$52)*B31</f>
        <v>342.24711256438229</v>
      </c>
      <c r="G31" s="4">
        <f t="shared" si="2"/>
        <v>9140.0145539833811</v>
      </c>
    </row>
    <row r="32" spans="1:7" x14ac:dyDescent="0.25">
      <c r="A32">
        <v>29</v>
      </c>
      <c r="B32" s="4">
        <f>-PPMT('Owner Occupier'!$D$41/12,'FHA Amotization'!$A32,360,'Owner Occupier'!$D$40,0,0)</f>
        <v>728.04212188782026</v>
      </c>
      <c r="C32" s="4">
        <f>-IPMT('Owner Occupier'!$D$41/12,'FHA Amotization'!$A32,360,'Owner Occupier'!$D$40,0,0)</f>
        <v>1626.5315005755308</v>
      </c>
      <c r="D32" s="4">
        <f t="shared" si="0"/>
        <v>2354.5736224633511</v>
      </c>
      <c r="E32" s="3">
        <f t="shared" si="1"/>
        <v>458527.91098179121</v>
      </c>
      <c r="F32" s="4">
        <f>('Owner Occupier'!$H$24-'Owner Occupier'!$D$52)/('Owner Occupier'!$D$56-'Owner Occupier'!$D$52)*B32</f>
        <v>343.45923775471442</v>
      </c>
      <c r="G32" s="4">
        <f t="shared" si="2"/>
        <v>9483.4737917380953</v>
      </c>
    </row>
    <row r="33" spans="1:7" x14ac:dyDescent="0.25">
      <c r="A33">
        <v>30</v>
      </c>
      <c r="B33" s="4">
        <f>-PPMT('Owner Occupier'!$D$41/12,'FHA Amotization'!$A33,360,'Owner Occupier'!$D$40,0,0)</f>
        <v>730.62060440283972</v>
      </c>
      <c r="C33" s="4">
        <f>-IPMT('Owner Occupier'!$D$41/12,'FHA Amotization'!$A33,360,'Owner Occupier'!$D$40,0,0)</f>
        <v>1623.9530180605113</v>
      </c>
      <c r="D33" s="4">
        <f t="shared" si="0"/>
        <v>2354.5736224633511</v>
      </c>
      <c r="E33" s="3">
        <f t="shared" si="1"/>
        <v>457797.29037738836</v>
      </c>
      <c r="F33" s="4">
        <f>('Owner Occupier'!$H$24-'Owner Occupier'!$D$52)/('Owner Occupier'!$D$56-'Owner Occupier'!$D$52)*B33</f>
        <v>344.67565588842905</v>
      </c>
      <c r="G33" s="4">
        <f t="shared" si="2"/>
        <v>9828.1494476265252</v>
      </c>
    </row>
    <row r="34" spans="1:7" x14ac:dyDescent="0.25">
      <c r="A34">
        <v>31</v>
      </c>
      <c r="B34" s="4">
        <f>-PPMT('Owner Occupier'!$D$41/12,'FHA Amotization'!$A34,360,'Owner Occupier'!$D$40,0,0)</f>
        <v>733.20821904343313</v>
      </c>
      <c r="C34" s="4">
        <f>-IPMT('Owner Occupier'!$D$41/12,'FHA Amotization'!$A34,360,'Owner Occupier'!$D$40,0,0)</f>
        <v>1621.3654034199178</v>
      </c>
      <c r="D34" s="4">
        <f t="shared" si="0"/>
        <v>2354.5736224633511</v>
      </c>
      <c r="E34" s="3">
        <f t="shared" si="1"/>
        <v>457064.08215834491</v>
      </c>
      <c r="F34" s="4">
        <f>('Owner Occupier'!$H$24-'Owner Occupier'!$D$52)/('Owner Occupier'!$D$56-'Owner Occupier'!$D$52)*B34</f>
        <v>345.89638216970059</v>
      </c>
      <c r="G34" s="4">
        <f t="shared" si="2"/>
        <v>10174.045829796225</v>
      </c>
    </row>
    <row r="35" spans="1:7" x14ac:dyDescent="0.25">
      <c r="A35">
        <v>32</v>
      </c>
      <c r="B35" s="4">
        <f>-PPMT('Owner Occupier'!$D$41/12,'FHA Amotization'!$A35,360,'Owner Occupier'!$D$40,0,0)</f>
        <v>735.80499815254529</v>
      </c>
      <c r="C35" s="4">
        <f>-IPMT('Owner Occupier'!$D$41/12,'FHA Amotization'!$A35,360,'Owner Occupier'!$D$40,0,0)</f>
        <v>1618.7686243108058</v>
      </c>
      <c r="D35" s="4">
        <f t="shared" si="0"/>
        <v>2354.5736224633511</v>
      </c>
      <c r="E35" s="3">
        <f t="shared" si="1"/>
        <v>456328.27716019237</v>
      </c>
      <c r="F35" s="4">
        <f>('Owner Occupier'!$H$24-'Owner Occupier'!$D$52)/('Owner Occupier'!$D$56-'Owner Occupier'!$D$52)*B35</f>
        <v>347.12143185655162</v>
      </c>
      <c r="G35" s="4">
        <f t="shared" si="2"/>
        <v>10521.167261652776</v>
      </c>
    </row>
    <row r="36" spans="1:7" x14ac:dyDescent="0.25">
      <c r="A36">
        <v>33</v>
      </c>
      <c r="B36" s="4">
        <f>-PPMT('Owner Occupier'!$D$41/12,'FHA Amotization'!$A36,360,'Owner Occupier'!$D$40,0,0)</f>
        <v>738.4109741876689</v>
      </c>
      <c r="C36" s="4">
        <f>-IPMT('Owner Occupier'!$D$41/12,'FHA Amotization'!$A36,360,'Owner Occupier'!$D$40,0,0)</f>
        <v>1616.1626482756822</v>
      </c>
      <c r="D36" s="4">
        <f t="shared" si="0"/>
        <v>2354.5736224633511</v>
      </c>
      <c r="E36" s="3">
        <f t="shared" si="1"/>
        <v>455589.86618600471</v>
      </c>
      <c r="F36" s="4">
        <f>('Owner Occupier'!$H$24-'Owner Occupier'!$D$52)/('Owner Occupier'!$D$56-'Owner Occupier'!$D$52)*B36</f>
        <v>348.35082026104357</v>
      </c>
      <c r="G36" s="4">
        <f t="shared" si="2"/>
        <v>10869.518081913819</v>
      </c>
    </row>
    <row r="37" spans="1:7" x14ac:dyDescent="0.25">
      <c r="A37">
        <v>34</v>
      </c>
      <c r="B37" s="4">
        <f>-PPMT('Owner Occupier'!$D$41/12,'FHA Amotization'!$A37,360,'Owner Occupier'!$D$40,0,0)</f>
        <v>741.02617972125029</v>
      </c>
      <c r="C37" s="4">
        <f>-IPMT('Owner Occupier'!$D$41/12,'FHA Amotization'!$A37,360,'Owner Occupier'!$D$40,0,0)</f>
        <v>1613.5474427421007</v>
      </c>
      <c r="D37" s="4">
        <f t="shared" si="0"/>
        <v>2354.5736224633511</v>
      </c>
      <c r="E37" s="3">
        <f t="shared" si="1"/>
        <v>454848.84000628348</v>
      </c>
      <c r="F37" s="4">
        <f>('Owner Occupier'!$H$24-'Owner Occupier'!$D$52)/('Owner Occupier'!$D$56-'Owner Occupier'!$D$52)*B37</f>
        <v>349.58456274946815</v>
      </c>
      <c r="G37" s="4">
        <f t="shared" si="2"/>
        <v>11219.102644663286</v>
      </c>
    </row>
    <row r="38" spans="1:7" x14ac:dyDescent="0.25">
      <c r="A38">
        <v>35</v>
      </c>
      <c r="B38" s="4">
        <f>-PPMT('Owner Occupier'!$D$41/12,'FHA Amotization'!$A38,360,'Owner Occupier'!$D$40,0,0)</f>
        <v>743.65064744109634</v>
      </c>
      <c r="C38" s="4">
        <f>-IPMT('Owner Occupier'!$D$41/12,'FHA Amotization'!$A38,360,'Owner Occupier'!$D$40,0,0)</f>
        <v>1610.9229750222548</v>
      </c>
      <c r="D38" s="4">
        <f t="shared" si="0"/>
        <v>2354.5736224633511</v>
      </c>
      <c r="E38" s="3">
        <f t="shared" si="1"/>
        <v>454105.18935884238</v>
      </c>
      <c r="F38" s="4">
        <f>('Owner Occupier'!$H$24-'Owner Occupier'!$D$52)/('Owner Occupier'!$D$56-'Owner Occupier'!$D$52)*B38</f>
        <v>350.82267474253916</v>
      </c>
      <c r="G38" s="4">
        <f t="shared" si="2"/>
        <v>11569.925319405826</v>
      </c>
    </row>
    <row r="39" spans="1:7" x14ac:dyDescent="0.25">
      <c r="A39">
        <v>36</v>
      </c>
      <c r="B39" s="4">
        <f>-PPMT('Owner Occupier'!$D$41/12,'FHA Amotization'!$A39,360,'Owner Occupier'!$D$40,0,0)</f>
        <v>746.28441015078363</v>
      </c>
      <c r="C39" s="4">
        <f>-IPMT('Owner Occupier'!$D$41/12,'FHA Amotization'!$A39,360,'Owner Occupier'!$D$40,0,0)</f>
        <v>1608.2892123125675</v>
      </c>
      <c r="D39" s="4">
        <f t="shared" si="0"/>
        <v>2354.5736224633511</v>
      </c>
      <c r="E39" s="3">
        <f t="shared" si="1"/>
        <v>453358.9049486916</v>
      </c>
      <c r="F39" s="4">
        <f>('Owner Occupier'!$H$24-'Owner Occupier'!$D$52)/('Owner Occupier'!$D$56-'Owner Occupier'!$D$52)*B39</f>
        <v>352.06517171558568</v>
      </c>
      <c r="G39" s="4">
        <f t="shared" si="2"/>
        <v>11921.990491121411</v>
      </c>
    </row>
    <row r="40" spans="1:7" x14ac:dyDescent="0.25">
      <c r="A40">
        <v>37</v>
      </c>
      <c r="B40" s="4">
        <f>-PPMT('Owner Occupier'!$D$41/12,'FHA Amotization'!$A40,360,'Owner Occupier'!$D$40,0,0)</f>
        <v>748.92750077006758</v>
      </c>
      <c r="C40" s="4">
        <f>-IPMT('Owner Occupier'!$D$41/12,'FHA Amotization'!$A40,360,'Owner Occupier'!$D$40,0,0)</f>
        <v>1605.6461216932835</v>
      </c>
      <c r="D40" s="4">
        <f t="shared" si="0"/>
        <v>2354.5736224633511</v>
      </c>
      <c r="E40" s="3">
        <f t="shared" si="1"/>
        <v>452609.97744792153</v>
      </c>
      <c r="F40" s="4">
        <f>('Owner Occupier'!$H$24-'Owner Occupier'!$D$52)/('Owner Occupier'!$D$56-'Owner Occupier'!$D$52)*B40</f>
        <v>353.31206919874501</v>
      </c>
      <c r="G40" s="4">
        <f t="shared" si="2"/>
        <v>12275.302560320155</v>
      </c>
    </row>
    <row r="41" spans="1:7" x14ac:dyDescent="0.25">
      <c r="A41">
        <v>38</v>
      </c>
      <c r="B41" s="4">
        <f>-PPMT('Owner Occupier'!$D$41/12,'FHA Amotization'!$A41,360,'Owner Occupier'!$D$40,0,0)</f>
        <v>751.57995233529493</v>
      </c>
      <c r="C41" s="4">
        <f>-IPMT('Owner Occupier'!$D$41/12,'FHA Amotization'!$A41,360,'Owner Occupier'!$D$40,0,0)</f>
        <v>1602.9936701280562</v>
      </c>
      <c r="D41" s="4">
        <f t="shared" si="0"/>
        <v>2354.5736224633511</v>
      </c>
      <c r="E41" s="3">
        <f t="shared" si="1"/>
        <v>451858.39749558625</v>
      </c>
      <c r="F41" s="4">
        <f>('Owner Occupier'!$H$24-'Owner Occupier'!$D$52)/('Owner Occupier'!$D$56-'Owner Occupier'!$D$52)*B41</f>
        <v>354.56338277715724</v>
      </c>
      <c r="G41" s="4">
        <f t="shared" si="2"/>
        <v>12629.865943097313</v>
      </c>
    </row>
    <row r="42" spans="1:7" x14ac:dyDescent="0.25">
      <c r="A42">
        <v>39</v>
      </c>
      <c r="B42" s="4">
        <f>-PPMT('Owner Occupier'!$D$41/12,'FHA Amotization'!$A42,360,'Owner Occupier'!$D$40,0,0)</f>
        <v>754.24179799981573</v>
      </c>
      <c r="C42" s="4">
        <f>-IPMT('Owner Occupier'!$D$41/12,'FHA Amotization'!$A42,360,'Owner Occupier'!$D$40,0,0)</f>
        <v>1600.3318244635357</v>
      </c>
      <c r="D42" s="4">
        <f t="shared" si="0"/>
        <v>2354.5736224633515</v>
      </c>
      <c r="E42" s="3">
        <f t="shared" si="1"/>
        <v>451104.15569758642</v>
      </c>
      <c r="F42" s="4">
        <f>('Owner Occupier'!$H$24-'Owner Occupier'!$D$52)/('Owner Occupier'!$D$56-'Owner Occupier'!$D$52)*B42</f>
        <v>355.81912809115966</v>
      </c>
      <c r="G42" s="4">
        <f t="shared" si="2"/>
        <v>12985.685071188473</v>
      </c>
    </row>
    <row r="43" spans="1:7" x14ac:dyDescent="0.25">
      <c r="A43">
        <v>40</v>
      </c>
      <c r="B43" s="4">
        <f>-PPMT('Owner Occupier'!$D$41/12,'FHA Amotization'!$A43,360,'Owner Occupier'!$D$40,0,0)</f>
        <v>756.9130710343984</v>
      </c>
      <c r="C43" s="4">
        <f>-IPMT('Owner Occupier'!$D$41/12,'FHA Amotization'!$A43,360,'Owner Occupier'!$D$40,0,0)</f>
        <v>1597.6605514289529</v>
      </c>
      <c r="D43" s="4">
        <f t="shared" si="0"/>
        <v>2354.5736224633511</v>
      </c>
      <c r="E43" s="3">
        <f t="shared" si="1"/>
        <v>450347.242626552</v>
      </c>
      <c r="F43" s="4">
        <f>('Owner Occupier'!$H$24-'Owner Occupier'!$D$52)/('Owner Occupier'!$D$56-'Owner Occupier'!$D$52)*B43</f>
        <v>357.07932083648251</v>
      </c>
      <c r="G43" s="4">
        <f t="shared" si="2"/>
        <v>13342.764392024956</v>
      </c>
    </row>
    <row r="44" spans="1:7" x14ac:dyDescent="0.25">
      <c r="A44">
        <v>41</v>
      </c>
      <c r="B44" s="4">
        <f>-PPMT('Owner Occupier'!$D$41/12,'FHA Amotization'!$A44,360,'Owner Occupier'!$D$40,0,0)</f>
        <v>759.59380482764527</v>
      </c>
      <c r="C44" s="4">
        <f>-IPMT('Owner Occupier'!$D$41/12,'FHA Amotization'!$A44,360,'Owner Occupier'!$D$40,0,0)</f>
        <v>1594.979817635706</v>
      </c>
      <c r="D44" s="4">
        <f t="shared" si="0"/>
        <v>2354.5736224633511</v>
      </c>
      <c r="E44" s="3">
        <f t="shared" si="1"/>
        <v>449587.64882172435</v>
      </c>
      <c r="F44" s="4">
        <f>('Owner Occupier'!$H$24-'Owner Occupier'!$D$52)/('Owner Occupier'!$D$56-'Owner Occupier'!$D$52)*B44</f>
        <v>358.34397676444507</v>
      </c>
      <c r="G44" s="4">
        <f t="shared" si="2"/>
        <v>13701.108368789401</v>
      </c>
    </row>
    <row r="45" spans="1:7" x14ac:dyDescent="0.25">
      <c r="A45">
        <v>42</v>
      </c>
      <c r="B45" s="4">
        <f>-PPMT('Owner Occupier'!$D$41/12,'FHA Amotization'!$A45,360,'Owner Occupier'!$D$40,0,0)</f>
        <v>762.28403288640993</v>
      </c>
      <c r="C45" s="4">
        <f>-IPMT('Owner Occupier'!$D$41/12,'FHA Amotization'!$A45,360,'Owner Occupier'!$D$40,0,0)</f>
        <v>1592.2895895769414</v>
      </c>
      <c r="D45" s="4">
        <f t="shared" si="0"/>
        <v>2354.5736224633511</v>
      </c>
      <c r="E45" s="3">
        <f t="shared" si="1"/>
        <v>448825.36478883796</v>
      </c>
      <c r="F45" s="4">
        <f>('Owner Occupier'!$H$24-'Owner Occupier'!$D$52)/('Owner Occupier'!$D$56-'Owner Occupier'!$D$52)*B45</f>
        <v>359.61311168215252</v>
      </c>
      <c r="G45" s="4">
        <f t="shared" si="2"/>
        <v>14060.721480471553</v>
      </c>
    </row>
    <row r="46" spans="1:7" x14ac:dyDescent="0.25">
      <c r="A46">
        <v>43</v>
      </c>
      <c r="B46" s="4">
        <f>-PPMT('Owner Occupier'!$D$41/12,'FHA Amotization'!$A46,360,'Owner Occupier'!$D$40,0,0)</f>
        <v>764.98378883621569</v>
      </c>
      <c r="C46" s="4">
        <f>-IPMT('Owner Occupier'!$D$41/12,'FHA Amotization'!$A46,360,'Owner Occupier'!$D$40,0,0)</f>
        <v>1589.5898336271352</v>
      </c>
      <c r="D46" s="4">
        <f t="shared" si="0"/>
        <v>2354.5736224633511</v>
      </c>
      <c r="E46" s="3">
        <f t="shared" si="1"/>
        <v>448060.38100000174</v>
      </c>
      <c r="F46" s="4">
        <f>('Owner Occupier'!$H$24-'Owner Occupier'!$D$52)/('Owner Occupier'!$D$56-'Owner Occupier'!$D$52)*B46</f>
        <v>360.88674145269334</v>
      </c>
      <c r="G46" s="4">
        <f t="shared" si="2"/>
        <v>14421.608221924247</v>
      </c>
    </row>
    <row r="47" spans="1:7" x14ac:dyDescent="0.25">
      <c r="A47">
        <v>44</v>
      </c>
      <c r="B47" s="4">
        <f>-PPMT('Owner Occupier'!$D$41/12,'FHA Amotization'!$A47,360,'Owner Occupier'!$D$40,0,0)</f>
        <v>767.69310642167761</v>
      </c>
      <c r="C47" s="4">
        <f>-IPMT('Owner Occupier'!$D$41/12,'FHA Amotization'!$A47,360,'Owner Occupier'!$D$40,0,0)</f>
        <v>1586.8805160416737</v>
      </c>
      <c r="D47" s="4">
        <f t="shared" si="0"/>
        <v>2354.5736224633511</v>
      </c>
      <c r="E47" s="3">
        <f t="shared" si="1"/>
        <v>447292.68789358006</v>
      </c>
      <c r="F47" s="4">
        <f>('Owner Occupier'!$H$24-'Owner Occupier'!$D$52)/('Owner Occupier'!$D$56-'Owner Occupier'!$D$52)*B47</f>
        <v>362.16488199533848</v>
      </c>
      <c r="G47" s="4">
        <f t="shared" si="2"/>
        <v>14783.773103919586</v>
      </c>
    </row>
    <row r="48" spans="1:7" x14ac:dyDescent="0.25">
      <c r="A48">
        <v>45</v>
      </c>
      <c r="B48" s="4">
        <f>-PPMT('Owner Occupier'!$D$41/12,'FHA Amotization'!$A48,360,'Owner Occupier'!$D$40,0,0)</f>
        <v>770.41201950692084</v>
      </c>
      <c r="C48" s="4">
        <f>-IPMT('Owner Occupier'!$D$41/12,'FHA Amotization'!$A48,360,'Owner Occupier'!$D$40,0,0)</f>
        <v>1584.1616029564304</v>
      </c>
      <c r="D48" s="4">
        <f t="shared" si="0"/>
        <v>2354.5736224633511</v>
      </c>
      <c r="E48" s="3">
        <f t="shared" si="1"/>
        <v>446522.27587407315</v>
      </c>
      <c r="F48" s="4">
        <f>('Owner Occupier'!$H$24-'Owner Occupier'!$D$52)/('Owner Occupier'!$D$56-'Owner Occupier'!$D$52)*B48</f>
        <v>363.44754928573849</v>
      </c>
      <c r="G48" s="4">
        <f t="shared" si="2"/>
        <v>15147.220653205324</v>
      </c>
    </row>
    <row r="49" spans="1:7" x14ac:dyDescent="0.25">
      <c r="A49">
        <v>46</v>
      </c>
      <c r="B49" s="4">
        <f>-PPMT('Owner Occupier'!$D$41/12,'FHA Amotization'!$A49,360,'Owner Occupier'!$D$40,0,0)</f>
        <v>773.140562076008</v>
      </c>
      <c r="C49" s="4">
        <f>-IPMT('Owner Occupier'!$D$41/12,'FHA Amotization'!$A49,360,'Owner Occupier'!$D$40,0,0)</f>
        <v>1581.4330603873434</v>
      </c>
      <c r="D49" s="4">
        <f t="shared" si="0"/>
        <v>2354.5736224633515</v>
      </c>
      <c r="E49" s="3">
        <f t="shared" si="1"/>
        <v>445749.13531199715</v>
      </c>
      <c r="F49" s="4">
        <f>('Owner Occupier'!$H$24-'Owner Occupier'!$D$52)/('Owner Occupier'!$D$56-'Owner Occupier'!$D$52)*B49</f>
        <v>364.73475935612555</v>
      </c>
      <c r="G49" s="4">
        <f t="shared" si="2"/>
        <v>15511.95541256145</v>
      </c>
    </row>
    <row r="50" spans="1:7" x14ac:dyDescent="0.25">
      <c r="A50">
        <v>47</v>
      </c>
      <c r="B50" s="4">
        <f>-PPMT('Owner Occupier'!$D$41/12,'FHA Amotization'!$A50,360,'Owner Occupier'!$D$40,0,0)</f>
        <v>775.87876823336035</v>
      </c>
      <c r="C50" s="4">
        <f>-IPMT('Owner Occupier'!$D$41/12,'FHA Amotization'!$A50,360,'Owner Occupier'!$D$40,0,0)</f>
        <v>1578.6948542299906</v>
      </c>
      <c r="D50" s="4">
        <f t="shared" si="0"/>
        <v>2354.5736224633511</v>
      </c>
      <c r="E50" s="3">
        <f t="shared" si="1"/>
        <v>444973.2565437638</v>
      </c>
      <c r="F50" s="4">
        <f>('Owner Occupier'!$H$24-'Owner Occupier'!$D$52)/('Owner Occupier'!$D$56-'Owner Occupier'!$D$52)*B50</f>
        <v>366.02652829551175</v>
      </c>
      <c r="G50" s="4">
        <f t="shared" si="2"/>
        <v>15877.981940856962</v>
      </c>
    </row>
    <row r="51" spans="1:7" x14ac:dyDescent="0.25">
      <c r="A51">
        <v>48</v>
      </c>
      <c r="B51" s="4">
        <f>-PPMT('Owner Occupier'!$D$41/12,'FHA Amotization'!$A51,360,'Owner Occupier'!$D$40,0,0)</f>
        <v>778.626672204187</v>
      </c>
      <c r="C51" s="4">
        <f>-IPMT('Owner Occupier'!$D$41/12,'FHA Amotization'!$A51,360,'Owner Occupier'!$D$40,0,0)</f>
        <v>1575.9469502591642</v>
      </c>
      <c r="D51" s="4">
        <f t="shared" si="0"/>
        <v>2354.5736224633511</v>
      </c>
      <c r="E51" s="3">
        <f t="shared" si="1"/>
        <v>444194.62987155962</v>
      </c>
      <c r="F51" s="4">
        <f>('Owner Occupier'!$H$24-'Owner Occupier'!$D$52)/('Owner Occupier'!$D$56-'Owner Occupier'!$D$52)*B51</f>
        <v>367.32287224989176</v>
      </c>
      <c r="G51" s="4">
        <f t="shared" si="2"/>
        <v>16245.304813106854</v>
      </c>
    </row>
    <row r="52" spans="1:7" x14ac:dyDescent="0.25">
      <c r="A52">
        <v>49</v>
      </c>
      <c r="B52" s="4">
        <f>-PPMT('Owner Occupier'!$D$41/12,'FHA Amotization'!$A52,360,'Owner Occupier'!$D$40,0,0)</f>
        <v>781.38430833491009</v>
      </c>
      <c r="C52" s="4">
        <f>-IPMT('Owner Occupier'!$D$41/12,'FHA Amotization'!$A52,360,'Owner Occupier'!$D$40,0,0)</f>
        <v>1573.1893141284411</v>
      </c>
      <c r="D52" s="4">
        <f t="shared" si="0"/>
        <v>2354.5736224633511</v>
      </c>
      <c r="E52" s="3">
        <f t="shared" si="1"/>
        <v>443413.24556322471</v>
      </c>
      <c r="F52" s="4">
        <f>('Owner Occupier'!$H$24-'Owner Occupier'!$D$52)/('Owner Occupier'!$D$56-'Owner Occupier'!$D$52)*B52</f>
        <v>368.62380742244346</v>
      </c>
      <c r="G52" s="4">
        <f t="shared" si="2"/>
        <v>16613.928620529296</v>
      </c>
    </row>
    <row r="53" spans="1:7" x14ac:dyDescent="0.25">
      <c r="A53">
        <v>50</v>
      </c>
      <c r="B53" s="4">
        <f>-PPMT('Owner Occupier'!$D$41/12,'FHA Amotization'!$A53,360,'Owner Occupier'!$D$40,0,0)</f>
        <v>784.1517110935963</v>
      </c>
      <c r="C53" s="4">
        <f>-IPMT('Owner Occupier'!$D$41/12,'FHA Amotization'!$A53,360,'Owner Occupier'!$D$40,0,0)</f>
        <v>1570.421911369755</v>
      </c>
      <c r="D53" s="4">
        <f t="shared" si="0"/>
        <v>2354.5736224633511</v>
      </c>
      <c r="E53" s="3">
        <f t="shared" si="1"/>
        <v>442629.0938521311</v>
      </c>
      <c r="F53" s="4">
        <f>('Owner Occupier'!$H$24-'Owner Occupier'!$D$52)/('Owner Occupier'!$D$56-'Owner Occupier'!$D$52)*B53</f>
        <v>369.92935007373131</v>
      </c>
      <c r="G53" s="4">
        <f t="shared" si="2"/>
        <v>16983.857970603029</v>
      </c>
    </row>
    <row r="54" spans="1:7" x14ac:dyDescent="0.25">
      <c r="A54">
        <v>51</v>
      </c>
      <c r="B54" s="4">
        <f>-PPMT('Owner Occupier'!$D$41/12,'FHA Amotization'!$A54,360,'Owner Occupier'!$D$40,0,0)</f>
        <v>786.92891507038598</v>
      </c>
      <c r="C54" s="4">
        <f>-IPMT('Owner Occupier'!$D$41/12,'FHA Amotization'!$A54,360,'Owner Occupier'!$D$40,0,0)</f>
        <v>1567.6447073929653</v>
      </c>
      <c r="D54" s="4">
        <f t="shared" si="0"/>
        <v>2354.5736224633511</v>
      </c>
      <c r="E54" s="3">
        <f t="shared" si="1"/>
        <v>441842.16493706073</v>
      </c>
      <c r="F54" s="4">
        <f>('Owner Occupier'!$H$24-'Owner Occupier'!$D$52)/('Owner Occupier'!$D$56-'Owner Occupier'!$D$52)*B54</f>
        <v>371.23951652190902</v>
      </c>
      <c r="G54" s="4">
        <f t="shared" si="2"/>
        <v>17355.097487124938</v>
      </c>
    </row>
    <row r="55" spans="1:7" x14ac:dyDescent="0.25">
      <c r="A55">
        <v>52</v>
      </c>
      <c r="B55" s="4">
        <f>-PPMT('Owner Occupier'!$D$41/12,'FHA Amotization'!$A55,360,'Owner Occupier'!$D$40,0,0)</f>
        <v>789.71595497792703</v>
      </c>
      <c r="C55" s="4">
        <f>-IPMT('Owner Occupier'!$D$41/12,'FHA Amotization'!$A55,360,'Owner Occupier'!$D$40,0,0)</f>
        <v>1564.8576674854241</v>
      </c>
      <c r="D55" s="4">
        <f t="shared" si="0"/>
        <v>2354.5736224633511</v>
      </c>
      <c r="E55" s="3">
        <f t="shared" si="1"/>
        <v>441052.44898208283</v>
      </c>
      <c r="F55" s="4">
        <f>('Owner Occupier'!$H$24-'Owner Occupier'!$D$52)/('Owner Occupier'!$D$56-'Owner Occupier'!$D$52)*B55</f>
        <v>372.55432314292415</v>
      </c>
      <c r="G55" s="4">
        <f t="shared" si="2"/>
        <v>17727.651810267864</v>
      </c>
    </row>
    <row r="56" spans="1:7" x14ac:dyDescent="0.25">
      <c r="A56">
        <v>53</v>
      </c>
      <c r="B56" s="4">
        <f>-PPMT('Owner Occupier'!$D$41/12,'FHA Amotization'!$A56,360,'Owner Occupier'!$D$40,0,0)</f>
        <v>792.51286565180715</v>
      </c>
      <c r="C56" s="4">
        <f>-IPMT('Owner Occupier'!$D$41/12,'FHA Amotization'!$A56,360,'Owner Occupier'!$D$40,0,0)</f>
        <v>1562.060756811544</v>
      </c>
      <c r="D56" s="4">
        <f t="shared" si="0"/>
        <v>2354.5736224633511</v>
      </c>
      <c r="E56" s="3">
        <f t="shared" si="1"/>
        <v>440259.93611643102</v>
      </c>
      <c r="F56" s="4">
        <f>('Owner Occupier'!$H$24-'Owner Occupier'!$D$52)/('Owner Occupier'!$D$56-'Owner Occupier'!$D$52)*B56</f>
        <v>373.87378637072203</v>
      </c>
      <c r="G56" s="4">
        <f t="shared" si="2"/>
        <v>18101.525596638585</v>
      </c>
    </row>
    <row r="57" spans="1:7" x14ac:dyDescent="0.25">
      <c r="A57">
        <v>54</v>
      </c>
      <c r="B57" s="4">
        <f>-PPMT('Owner Occupier'!$D$41/12,'FHA Amotization'!$A57,360,'Owner Occupier'!$D$40,0,0)</f>
        <v>795.31968205099065</v>
      </c>
      <c r="C57" s="4">
        <f>-IPMT('Owner Occupier'!$D$41/12,'FHA Amotization'!$A57,360,'Owner Occupier'!$D$40,0,0)</f>
        <v>1559.2539404123604</v>
      </c>
      <c r="D57" s="4">
        <f t="shared" si="0"/>
        <v>2354.5736224633511</v>
      </c>
      <c r="E57" s="3">
        <f t="shared" si="1"/>
        <v>439464.61643438006</v>
      </c>
      <c r="F57" s="4">
        <f>('Owner Occupier'!$H$24-'Owner Occupier'!$D$52)/('Owner Occupier'!$D$56-'Owner Occupier'!$D$52)*B57</f>
        <v>375.19792269745165</v>
      </c>
      <c r="G57" s="4">
        <f t="shared" si="2"/>
        <v>18476.723519336036</v>
      </c>
    </row>
    <row r="58" spans="1:7" x14ac:dyDescent="0.25">
      <c r="A58">
        <v>55</v>
      </c>
      <c r="B58" s="4">
        <f>-PPMT('Owner Occupier'!$D$41/12,'FHA Amotization'!$A58,360,'Owner Occupier'!$D$40,0,0)</f>
        <v>798.13643925825454</v>
      </c>
      <c r="C58" s="4">
        <f>-IPMT('Owner Occupier'!$D$41/12,'FHA Amotization'!$A58,360,'Owner Occupier'!$D$40,0,0)</f>
        <v>1556.4371832050963</v>
      </c>
      <c r="D58" s="4">
        <f t="shared" si="0"/>
        <v>2354.5736224633511</v>
      </c>
      <c r="E58" s="3">
        <f t="shared" si="1"/>
        <v>438666.47999512183</v>
      </c>
      <c r="F58" s="4">
        <f>('Owner Occupier'!$H$24-'Owner Occupier'!$D$52)/('Owner Occupier'!$D$56-'Owner Occupier'!$D$52)*B58</f>
        <v>376.52674867367176</v>
      </c>
      <c r="G58" s="4">
        <f t="shared" si="2"/>
        <v>18853.250268009706</v>
      </c>
    </row>
    <row r="59" spans="1:7" x14ac:dyDescent="0.25">
      <c r="A59">
        <v>56</v>
      </c>
      <c r="B59" s="4">
        <f>-PPMT('Owner Occupier'!$D$41/12,'FHA Amotization'!$A59,360,'Owner Occupier'!$D$40,0,0)</f>
        <v>800.96317248062758</v>
      </c>
      <c r="C59" s="4">
        <f>-IPMT('Owner Occupier'!$D$41/12,'FHA Amotization'!$A59,360,'Owner Occupier'!$D$40,0,0)</f>
        <v>1553.6104499827234</v>
      </c>
      <c r="D59" s="4">
        <f t="shared" si="0"/>
        <v>2354.5736224633511</v>
      </c>
      <c r="E59" s="3">
        <f t="shared" si="1"/>
        <v>437865.51682264119</v>
      </c>
      <c r="F59" s="4">
        <f>('Owner Occupier'!$H$24-'Owner Occupier'!$D$52)/('Owner Occupier'!$D$56-'Owner Occupier'!$D$52)*B59</f>
        <v>377.86028090855774</v>
      </c>
      <c r="G59" s="4">
        <f t="shared" si="2"/>
        <v>19231.110548918263</v>
      </c>
    </row>
    <row r="60" spans="1:7" x14ac:dyDescent="0.25">
      <c r="A60">
        <v>57</v>
      </c>
      <c r="B60" s="4">
        <f>-PPMT('Owner Occupier'!$D$41/12,'FHA Amotization'!$A60,360,'Owner Occupier'!$D$40,0,0)</f>
        <v>803.79991704982967</v>
      </c>
      <c r="C60" s="4">
        <f>-IPMT('Owner Occupier'!$D$41/12,'FHA Amotization'!$A60,360,'Owner Occupier'!$D$40,0,0)</f>
        <v>1550.7737054135214</v>
      </c>
      <c r="D60" s="4">
        <f t="shared" si="0"/>
        <v>2354.5736224633511</v>
      </c>
      <c r="E60" s="3">
        <f t="shared" si="1"/>
        <v>437061.71690559137</v>
      </c>
      <c r="F60" s="4">
        <f>('Owner Occupier'!$H$24-'Owner Occupier'!$D$52)/('Owner Occupier'!$D$56-'Owner Occupier'!$D$52)*B60</f>
        <v>379.19853607010879</v>
      </c>
      <c r="G60" s="4">
        <f t="shared" si="2"/>
        <v>19610.30908498837</v>
      </c>
    </row>
    <row r="61" spans="1:7" x14ac:dyDescent="0.25">
      <c r="A61">
        <v>58</v>
      </c>
      <c r="B61" s="4">
        <f>-PPMT('Owner Occupier'!$D$41/12,'FHA Amotization'!$A61,360,'Owner Occupier'!$D$40,0,0)</f>
        <v>806.6467084227146</v>
      </c>
      <c r="C61" s="4">
        <f>-IPMT('Owner Occupier'!$D$41/12,'FHA Amotization'!$A61,360,'Owner Occupier'!$D$40,0,0)</f>
        <v>1547.9269140406363</v>
      </c>
      <c r="D61" s="4">
        <f t="shared" si="0"/>
        <v>2354.5736224633511</v>
      </c>
      <c r="E61" s="3">
        <f t="shared" si="1"/>
        <v>436255.07019716868</v>
      </c>
      <c r="F61" s="4">
        <f>('Owner Occupier'!$H$24-'Owner Occupier'!$D$52)/('Owner Occupier'!$D$56-'Owner Occupier'!$D$52)*B61</f>
        <v>380.54153088535719</v>
      </c>
      <c r="G61" s="4">
        <f t="shared" si="2"/>
        <v>19990.850615873729</v>
      </c>
    </row>
    <row r="62" spans="1:7" x14ac:dyDescent="0.25">
      <c r="A62">
        <v>59</v>
      </c>
      <c r="B62" s="4">
        <f>-PPMT('Owner Occupier'!$D$41/12,'FHA Amotization'!$A62,360,'Owner Occupier'!$D$40,0,0)</f>
        <v>809.50358218171164</v>
      </c>
      <c r="C62" s="4">
        <f>-IPMT('Owner Occupier'!$D$41/12,'FHA Amotization'!$A62,360,'Owner Occupier'!$D$40,0,0)</f>
        <v>1545.0700402816394</v>
      </c>
      <c r="D62" s="4">
        <f t="shared" si="0"/>
        <v>2354.5736224633511</v>
      </c>
      <c r="E62" s="3">
        <f t="shared" si="1"/>
        <v>435445.56661498698</v>
      </c>
      <c r="F62" s="4">
        <f>('Owner Occupier'!$H$24-'Owner Occupier'!$D$52)/('Owner Occupier'!$D$56-'Owner Occupier'!$D$52)*B62</f>
        <v>381.88928214057609</v>
      </c>
      <c r="G62" s="4">
        <f t="shared" si="2"/>
        <v>20372.739898014304</v>
      </c>
    </row>
    <row r="63" spans="1:7" x14ac:dyDescent="0.25">
      <c r="A63">
        <v>60</v>
      </c>
      <c r="B63" s="4">
        <f>-PPMT('Owner Occupier'!$D$41/12,'FHA Amotization'!$A63,360,'Owner Occupier'!$D$40,0,0)</f>
        <v>812.37057403527194</v>
      </c>
      <c r="C63" s="4">
        <f>-IPMT('Owner Occupier'!$D$41/12,'FHA Amotization'!$A63,360,'Owner Occupier'!$D$40,0,0)</f>
        <v>1542.2030484280792</v>
      </c>
      <c r="D63" s="4">
        <f t="shared" si="0"/>
        <v>2354.5736224633511</v>
      </c>
      <c r="E63" s="3">
        <f t="shared" si="1"/>
        <v>434633.19604095171</v>
      </c>
      <c r="F63" s="4">
        <f>('Owner Occupier'!$H$24-'Owner Occupier'!$D$52)/('Owner Occupier'!$D$56-'Owner Occupier'!$D$52)*B63</f>
        <v>383.24180668149069</v>
      </c>
      <c r="G63" s="4">
        <f t="shared" si="2"/>
        <v>20755.981704695794</v>
      </c>
    </row>
    <row r="64" spans="1:7" x14ac:dyDescent="0.25">
      <c r="A64">
        <v>61</v>
      </c>
      <c r="B64" s="4">
        <f>-PPMT('Owner Occupier'!$D$41/12,'FHA Amotization'!$A64,360,'Owner Occupier'!$D$40,0,0)</f>
        <v>815.2477198183135</v>
      </c>
      <c r="C64" s="4">
        <f>-IPMT('Owner Occupier'!$D$41/12,'FHA Amotization'!$A64,360,'Owner Occupier'!$D$40,0,0)</f>
        <v>1539.3259026450376</v>
      </c>
      <c r="D64" s="4">
        <f t="shared" si="0"/>
        <v>2354.5736224633511</v>
      </c>
      <c r="E64" s="3">
        <f t="shared" si="1"/>
        <v>433817.94832113339</v>
      </c>
      <c r="F64" s="4">
        <f>('Owner Occupier'!$H$24-'Owner Occupier'!$D$52)/('Owner Occupier'!$D$56-'Owner Occupier'!$D$52)*B64</f>
        <v>384.59912141348758</v>
      </c>
      <c r="G64" s="4">
        <f t="shared" si="2"/>
        <v>21140.580826109282</v>
      </c>
    </row>
    <row r="65" spans="1:7" x14ac:dyDescent="0.25">
      <c r="A65">
        <v>62</v>
      </c>
      <c r="B65" s="4">
        <f>-PPMT('Owner Occupier'!$D$41/12,'FHA Amotization'!$A65,360,'Owner Occupier'!$D$40,0,0)</f>
        <v>818.13505549267018</v>
      </c>
      <c r="C65" s="4">
        <f>-IPMT('Owner Occupier'!$D$41/12,'FHA Amotization'!$A65,360,'Owner Occupier'!$D$40,0,0)</f>
        <v>1536.438566970681</v>
      </c>
      <c r="D65" s="4">
        <f t="shared" si="0"/>
        <v>2354.5736224633511</v>
      </c>
      <c r="E65" s="3">
        <f t="shared" si="1"/>
        <v>432999.8132656407</v>
      </c>
      <c r="F65" s="4">
        <f>('Owner Occupier'!$H$24-'Owner Occupier'!$D$52)/('Owner Occupier'!$D$56-'Owner Occupier'!$D$52)*B65</f>
        <v>385.9612433018271</v>
      </c>
      <c r="G65" s="4">
        <f t="shared" si="2"/>
        <v>21526.542069411109</v>
      </c>
    </row>
    <row r="66" spans="1:7" x14ac:dyDescent="0.25">
      <c r="A66">
        <v>63</v>
      </c>
      <c r="B66" s="4">
        <f>-PPMT('Owner Occupier'!$D$41/12,'FHA Amotization'!$A66,360,'Owner Occupier'!$D$40,0,0)</f>
        <v>821.03261714753978</v>
      </c>
      <c r="C66" s="4">
        <f>-IPMT('Owner Occupier'!$D$41/12,'FHA Amotization'!$A66,360,'Owner Occupier'!$D$40,0,0)</f>
        <v>1533.5410053158114</v>
      </c>
      <c r="D66" s="4">
        <f t="shared" si="0"/>
        <v>2354.5736224633511</v>
      </c>
      <c r="E66" s="3">
        <f t="shared" si="1"/>
        <v>432178.78064849315</v>
      </c>
      <c r="F66" s="4">
        <f>('Owner Occupier'!$H$24-'Owner Occupier'!$D$52)/('Owner Occupier'!$D$56-'Owner Occupier'!$D$52)*B66</f>
        <v>387.32818937185431</v>
      </c>
      <c r="G66" s="4">
        <f t="shared" si="2"/>
        <v>21913.870258782965</v>
      </c>
    </row>
    <row r="67" spans="1:7" x14ac:dyDescent="0.25">
      <c r="A67">
        <v>64</v>
      </c>
      <c r="B67" s="4">
        <f>-PPMT('Owner Occupier'!$D$41/12,'FHA Amotization'!$A67,360,'Owner Occupier'!$D$40,0,0)</f>
        <v>823.94044099993744</v>
      </c>
      <c r="C67" s="4">
        <f>-IPMT('Owner Occupier'!$D$41/12,'FHA Amotization'!$A67,360,'Owner Occupier'!$D$40,0,0)</f>
        <v>1530.6331814634136</v>
      </c>
      <c r="D67" s="4">
        <f t="shared" si="0"/>
        <v>2354.5736224633511</v>
      </c>
      <c r="E67" s="3">
        <f t="shared" si="1"/>
        <v>431354.84020749322</v>
      </c>
      <c r="F67" s="4">
        <f>('Owner Occupier'!$H$24-'Owner Occupier'!$D$52)/('Owner Occupier'!$D$56-'Owner Occupier'!$D$52)*B67</f>
        <v>388.69997670921299</v>
      </c>
      <c r="G67" s="4">
        <f t="shared" si="2"/>
        <v>22302.570235492178</v>
      </c>
    </row>
    <row r="68" spans="1:7" x14ac:dyDescent="0.25">
      <c r="A68">
        <v>65</v>
      </c>
      <c r="B68" s="4">
        <f>-PPMT('Owner Occupier'!$D$41/12,'FHA Amotization'!$A68,360,'Owner Occupier'!$D$40,0,0)</f>
        <v>826.85856339514555</v>
      </c>
      <c r="C68" s="4">
        <f>-IPMT('Owner Occupier'!$D$41/12,'FHA Amotization'!$A68,360,'Owner Occupier'!$D$40,0,0)</f>
        <v>1527.7150590682056</v>
      </c>
      <c r="D68" s="4">
        <f t="shared" si="0"/>
        <v>2354.5736224633511</v>
      </c>
      <c r="E68" s="3">
        <f t="shared" si="1"/>
        <v>430527.98164409806</v>
      </c>
      <c r="F68" s="4">
        <f>('Owner Occupier'!$H$24-'Owner Occupier'!$D$52)/('Owner Occupier'!$D$56-'Owner Occupier'!$D$52)*B68</f>
        <v>390.0766224600581</v>
      </c>
      <c r="G68" s="4">
        <f t="shared" si="2"/>
        <v>22692.646857952237</v>
      </c>
    </row>
    <row r="69" spans="1:7" x14ac:dyDescent="0.25">
      <c r="A69">
        <v>66</v>
      </c>
      <c r="B69" s="4">
        <f>-PPMT('Owner Occupier'!$D$41/12,'FHA Amotization'!$A69,360,'Owner Occupier'!$D$40,0,0)</f>
        <v>829.78702080717005</v>
      </c>
      <c r="C69" s="4">
        <f>-IPMT('Owner Occupier'!$D$41/12,'FHA Amotization'!$A69,360,'Owner Occupier'!$D$40,0,0)</f>
        <v>1524.7866016561809</v>
      </c>
      <c r="D69" s="4">
        <f t="shared" ref="D69:D132" si="3">B69+C69</f>
        <v>2354.5736224633511</v>
      </c>
      <c r="E69" s="3">
        <f t="shared" si="1"/>
        <v>429698.19462329091</v>
      </c>
      <c r="F69" s="4">
        <f>('Owner Occupier'!$H$24-'Owner Occupier'!$D$52)/('Owner Occupier'!$D$56-'Owner Occupier'!$D$52)*B69</f>
        <v>391.45814383127083</v>
      </c>
      <c r="G69" s="4">
        <f t="shared" si="2"/>
        <v>23084.105001783508</v>
      </c>
    </row>
    <row r="70" spans="1:7" x14ac:dyDescent="0.25">
      <c r="A70">
        <v>67</v>
      </c>
      <c r="B70" s="4">
        <f>-PPMT('Owner Occupier'!$D$41/12,'FHA Amotization'!$A70,360,'Owner Occupier'!$D$40,0,0)</f>
        <v>832.72584983919535</v>
      </c>
      <c r="C70" s="4">
        <f>-IPMT('Owner Occupier'!$D$41/12,'FHA Amotization'!$A70,360,'Owner Occupier'!$D$40,0,0)</f>
        <v>1521.8477726241556</v>
      </c>
      <c r="D70" s="4">
        <f t="shared" si="3"/>
        <v>2354.5736224633511</v>
      </c>
      <c r="E70" s="3">
        <f t="shared" ref="E70:E133" si="4">E69-B70</f>
        <v>428865.46877345169</v>
      </c>
      <c r="F70" s="4">
        <f>('Owner Occupier'!$H$24-'Owner Occupier'!$D$52)/('Owner Occupier'!$D$56-'Owner Occupier'!$D$52)*B70</f>
        <v>392.84455809067322</v>
      </c>
      <c r="G70" s="4">
        <f t="shared" ref="G70:G133" si="5">F70+G69</f>
        <v>23476.949559874181</v>
      </c>
    </row>
    <row r="71" spans="1:7" x14ac:dyDescent="0.25">
      <c r="A71">
        <v>68</v>
      </c>
      <c r="B71" s="4">
        <f>-PPMT('Owner Occupier'!$D$41/12,'FHA Amotization'!$A71,360,'Owner Occupier'!$D$40,0,0)</f>
        <v>835.67508722404261</v>
      </c>
      <c r="C71" s="4">
        <f>-IPMT('Owner Occupier'!$D$41/12,'FHA Amotization'!$A71,360,'Owner Occupier'!$D$40,0,0)</f>
        <v>1518.8985352393086</v>
      </c>
      <c r="D71" s="4">
        <f t="shared" si="3"/>
        <v>2354.5736224633511</v>
      </c>
      <c r="E71" s="3">
        <f t="shared" si="4"/>
        <v>428029.79368622764</v>
      </c>
      <c r="F71" s="4">
        <f>('Owner Occupier'!$H$24-'Owner Occupier'!$D$52)/('Owner Occupier'!$D$56-'Owner Occupier'!$D$52)*B71</f>
        <v>394.2358825672444</v>
      </c>
      <c r="G71" s="4">
        <f t="shared" si="5"/>
        <v>23871.185442441427</v>
      </c>
    </row>
    <row r="72" spans="1:7" x14ac:dyDescent="0.25">
      <c r="A72">
        <v>69</v>
      </c>
      <c r="B72" s="4">
        <f>-PPMT('Owner Occupier'!$D$41/12,'FHA Amotization'!$A72,360,'Owner Occupier'!$D$40,0,0)</f>
        <v>838.63476982462771</v>
      </c>
      <c r="C72" s="4">
        <f>-IPMT('Owner Occupier'!$D$41/12,'FHA Amotization'!$A72,360,'Owner Occupier'!$D$40,0,0)</f>
        <v>1515.9388526387233</v>
      </c>
      <c r="D72" s="4">
        <f t="shared" si="3"/>
        <v>2354.5736224633511</v>
      </c>
      <c r="E72" s="3">
        <f t="shared" si="4"/>
        <v>427191.15891640302</v>
      </c>
      <c r="F72" s="4">
        <f>('Owner Occupier'!$H$24-'Owner Occupier'!$D$52)/('Owner Occupier'!$D$56-'Owner Occupier'!$D$52)*B72</f>
        <v>395.63213465133668</v>
      </c>
      <c r="G72" s="4">
        <f t="shared" si="5"/>
        <v>24266.817577092763</v>
      </c>
    </row>
    <row r="73" spans="1:7" x14ac:dyDescent="0.25">
      <c r="A73">
        <v>70</v>
      </c>
      <c r="B73" s="4">
        <f>-PPMT('Owner Occupier'!$D$41/12,'FHA Amotization'!$A73,360,'Owner Occupier'!$D$40,0,0)</f>
        <v>841.60493463442322</v>
      </c>
      <c r="C73" s="4">
        <f>-IPMT('Owner Occupier'!$D$41/12,'FHA Amotization'!$A73,360,'Owner Occupier'!$D$40,0,0)</f>
        <v>1512.9686878289276</v>
      </c>
      <c r="D73" s="4">
        <f t="shared" si="3"/>
        <v>2354.5736224633511</v>
      </c>
      <c r="E73" s="3">
        <f t="shared" si="4"/>
        <v>426349.55398176861</v>
      </c>
      <c r="F73" s="4">
        <f>('Owner Occupier'!$H$24-'Owner Occupier'!$D$52)/('Owner Occupier'!$D$56-'Owner Occupier'!$D$52)*B73</f>
        <v>397.03333179489351</v>
      </c>
      <c r="G73" s="4">
        <f t="shared" si="5"/>
        <v>24663.850908887656</v>
      </c>
    </row>
    <row r="74" spans="1:7" x14ac:dyDescent="0.25">
      <c r="A74">
        <v>71</v>
      </c>
      <c r="B74" s="4">
        <f>-PPMT('Owner Occupier'!$D$41/12,'FHA Amotization'!$A74,360,'Owner Occupier'!$D$40,0,0)</f>
        <v>844.5856187779201</v>
      </c>
      <c r="C74" s="4">
        <f>-IPMT('Owner Occupier'!$D$41/12,'FHA Amotization'!$A74,360,'Owner Occupier'!$D$40,0,0)</f>
        <v>1509.9880036854313</v>
      </c>
      <c r="D74" s="4">
        <f t="shared" si="3"/>
        <v>2354.5736224633515</v>
      </c>
      <c r="E74" s="3">
        <f t="shared" si="4"/>
        <v>425504.96836299071</v>
      </c>
      <c r="F74" s="4">
        <f>('Owner Occupier'!$H$24-'Owner Occupier'!$D$52)/('Owner Occupier'!$D$56-'Owner Occupier'!$D$52)*B74</f>
        <v>398.43949151166709</v>
      </c>
      <c r="G74" s="4">
        <f t="shared" si="5"/>
        <v>25062.290400399324</v>
      </c>
    </row>
    <row r="75" spans="1:7" x14ac:dyDescent="0.25">
      <c r="A75">
        <v>72</v>
      </c>
      <c r="B75" s="4">
        <f>-PPMT('Owner Occupier'!$D$41/12,'FHA Amotization'!$A75,360,'Owner Occupier'!$D$40,0,0)</f>
        <v>847.57685951109204</v>
      </c>
      <c r="C75" s="4">
        <f>-IPMT('Owner Occupier'!$D$41/12,'FHA Amotization'!$A75,360,'Owner Occupier'!$D$40,0,0)</f>
        <v>1506.9967629522589</v>
      </c>
      <c r="D75" s="4">
        <f t="shared" si="3"/>
        <v>2354.5736224633511</v>
      </c>
      <c r="E75" s="3">
        <f t="shared" si="4"/>
        <v>424657.39150347962</v>
      </c>
      <c r="F75" s="4">
        <f>('Owner Occupier'!$H$24-'Owner Occupier'!$D$52)/('Owner Occupier'!$D$56-'Owner Occupier'!$D$52)*B75</f>
        <v>399.85063137743759</v>
      </c>
      <c r="G75" s="4">
        <f t="shared" si="5"/>
        <v>25462.141031776762</v>
      </c>
    </row>
    <row r="76" spans="1:7" x14ac:dyDescent="0.25">
      <c r="A76">
        <v>73</v>
      </c>
      <c r="B76" s="4">
        <f>-PPMT('Owner Occupier'!$D$41/12,'FHA Amotization'!$A76,360,'Owner Occupier'!$D$40,0,0)</f>
        <v>850.57869422186047</v>
      </c>
      <c r="C76" s="4">
        <f>-IPMT('Owner Occupier'!$D$41/12,'FHA Amotization'!$A76,360,'Owner Occupier'!$D$40,0,0)</f>
        <v>1503.9949282414907</v>
      </c>
      <c r="D76" s="4">
        <f t="shared" si="3"/>
        <v>2354.5736224633511</v>
      </c>
      <c r="E76" s="3">
        <f t="shared" si="4"/>
        <v>423806.81280925777</v>
      </c>
      <c r="F76" s="4">
        <f>('Owner Occupier'!$H$24-'Owner Occupier'!$D$52)/('Owner Occupier'!$D$56-'Owner Occupier'!$D$52)*B76</f>
        <v>401.26676903023269</v>
      </c>
      <c r="G76" s="4">
        <f t="shared" si="5"/>
        <v>25863.407800806996</v>
      </c>
    </row>
    <row r="77" spans="1:7" x14ac:dyDescent="0.25">
      <c r="A77">
        <v>74</v>
      </c>
      <c r="B77" s="4">
        <f>-PPMT('Owner Occupier'!$D$41/12,'FHA Amotization'!$A77,360,'Owner Occupier'!$D$40,0,0)</f>
        <v>853.59116043056304</v>
      </c>
      <c r="C77" s="4">
        <f>-IPMT('Owner Occupier'!$D$41/12,'FHA Amotization'!$A77,360,'Owner Occupier'!$D$40,0,0)</f>
        <v>1500.9824620327881</v>
      </c>
      <c r="D77" s="4">
        <f t="shared" si="3"/>
        <v>2354.5736224633511</v>
      </c>
      <c r="E77" s="3">
        <f t="shared" si="4"/>
        <v>422953.2216488272</v>
      </c>
      <c r="F77" s="4">
        <f>('Owner Occupier'!$H$24-'Owner Occupier'!$D$52)/('Owner Occupier'!$D$56-'Owner Occupier'!$D$52)*B77</f>
        <v>402.68792217054818</v>
      </c>
      <c r="G77" s="4">
        <f t="shared" si="5"/>
        <v>26266.095722977545</v>
      </c>
    </row>
    <row r="78" spans="1:7" x14ac:dyDescent="0.25">
      <c r="A78">
        <v>75</v>
      </c>
      <c r="B78" s="4">
        <f>-PPMT('Owner Occupier'!$D$41/12,'FHA Amotization'!$A78,360,'Owner Occupier'!$D$40,0,0)</f>
        <v>856.61429579042101</v>
      </c>
      <c r="C78" s="4">
        <f>-IPMT('Owner Occupier'!$D$41/12,'FHA Amotization'!$A78,360,'Owner Occupier'!$D$40,0,0)</f>
        <v>1497.95932667293</v>
      </c>
      <c r="D78" s="4">
        <f t="shared" si="3"/>
        <v>2354.5736224633511</v>
      </c>
      <c r="E78" s="3">
        <f t="shared" si="4"/>
        <v>422096.60735303676</v>
      </c>
      <c r="F78" s="4">
        <f>('Owner Occupier'!$H$24-'Owner Occupier'!$D$52)/('Owner Occupier'!$D$56-'Owner Occupier'!$D$52)*B78</f>
        <v>404.11410856156874</v>
      </c>
      <c r="G78" s="4">
        <f t="shared" si="5"/>
        <v>26670.209831539112</v>
      </c>
    </row>
    <row r="79" spans="1:7" x14ac:dyDescent="0.25">
      <c r="A79">
        <v>76</v>
      </c>
      <c r="B79" s="4">
        <f>-PPMT('Owner Occupier'!$D$41/12,'FHA Amotization'!$A79,360,'Owner Occupier'!$D$40,0,0)</f>
        <v>859.64813808801227</v>
      </c>
      <c r="C79" s="4">
        <f>-IPMT('Owner Occupier'!$D$41/12,'FHA Amotization'!$A79,360,'Owner Occupier'!$D$40,0,0)</f>
        <v>1494.9254843753388</v>
      </c>
      <c r="D79" s="4">
        <f t="shared" si="3"/>
        <v>2354.5736224633511</v>
      </c>
      <c r="E79" s="3">
        <f t="shared" si="4"/>
        <v>421236.95921494876</v>
      </c>
      <c r="F79" s="4">
        <f>('Owner Occupier'!$H$24-'Owner Occupier'!$D$52)/('Owner Occupier'!$D$56-'Owner Occupier'!$D$52)*B79</f>
        <v>405.54534602939106</v>
      </c>
      <c r="G79" s="4">
        <f t="shared" si="5"/>
        <v>27075.755177568502</v>
      </c>
    </row>
    <row r="80" spans="1:7" x14ac:dyDescent="0.25">
      <c r="A80">
        <v>77</v>
      </c>
      <c r="B80" s="4">
        <f>-PPMT('Owner Occupier'!$D$41/12,'FHA Amotization'!$A80,360,'Owner Occupier'!$D$40,0,0)</f>
        <v>862.69272524374048</v>
      </c>
      <c r="C80" s="4">
        <f>-IPMT('Owner Occupier'!$D$41/12,'FHA Amotization'!$A80,360,'Owner Occupier'!$D$40,0,0)</f>
        <v>1491.8808972196105</v>
      </c>
      <c r="D80" s="4">
        <f t="shared" si="3"/>
        <v>2354.5736224633511</v>
      </c>
      <c r="E80" s="3">
        <f t="shared" si="4"/>
        <v>420374.26648970501</v>
      </c>
      <c r="F80" s="4">
        <f>('Owner Occupier'!$H$24-'Owner Occupier'!$D$52)/('Owner Occupier'!$D$56-'Owner Occupier'!$D$52)*B80</f>
        <v>406.98165246324504</v>
      </c>
      <c r="G80" s="4">
        <f t="shared" si="5"/>
        <v>27482.736830031747</v>
      </c>
    </row>
    <row r="81" spans="1:7" x14ac:dyDescent="0.25">
      <c r="A81">
        <v>78</v>
      </c>
      <c r="B81" s="4">
        <f>-PPMT('Owner Occupier'!$D$41/12,'FHA Amotization'!$A81,360,'Owner Occupier'!$D$40,0,0)</f>
        <v>865.7480953123121</v>
      </c>
      <c r="C81" s="4">
        <f>-IPMT('Owner Occupier'!$D$41/12,'FHA Amotization'!$A81,360,'Owner Occupier'!$D$40,0,0)</f>
        <v>1488.8255271510388</v>
      </c>
      <c r="D81" s="4">
        <f t="shared" si="3"/>
        <v>2354.5736224633511</v>
      </c>
      <c r="E81" s="3">
        <f t="shared" si="4"/>
        <v>419508.51839439268</v>
      </c>
      <c r="F81" s="4">
        <f>('Owner Occupier'!$H$24-'Owner Occupier'!$D$52)/('Owner Occupier'!$D$56-'Owner Occupier'!$D$52)*B81</f>
        <v>408.42304581571909</v>
      </c>
      <c r="G81" s="4">
        <f t="shared" si="5"/>
        <v>27891.159875847465</v>
      </c>
    </row>
    <row r="82" spans="1:7" x14ac:dyDescent="0.25">
      <c r="A82">
        <v>79</v>
      </c>
      <c r="B82" s="4">
        <f>-PPMT('Owner Occupier'!$D$41/12,'FHA Amotization'!$A82,360,'Owner Occupier'!$D$40,0,0)</f>
        <v>868.81428648320991</v>
      </c>
      <c r="C82" s="4">
        <f>-IPMT('Owner Occupier'!$D$41/12,'FHA Amotization'!$A82,360,'Owner Occupier'!$D$40,0,0)</f>
        <v>1485.7593359801413</v>
      </c>
      <c r="D82" s="4">
        <f t="shared" si="3"/>
        <v>2354.5736224633511</v>
      </c>
      <c r="E82" s="3">
        <f t="shared" si="4"/>
        <v>418639.70410790946</v>
      </c>
      <c r="F82" s="4">
        <f>('Owner Occupier'!$H$24-'Owner Occupier'!$D$52)/('Owner Occupier'!$D$56-'Owner Occupier'!$D$52)*B82</f>
        <v>409.86954410298313</v>
      </c>
      <c r="G82" s="4">
        <f t="shared" si="5"/>
        <v>28301.02941995045</v>
      </c>
    </row>
    <row r="83" spans="1:7" x14ac:dyDescent="0.25">
      <c r="A83">
        <v>80</v>
      </c>
      <c r="B83" s="4">
        <f>-PPMT('Owner Occupier'!$D$41/12,'FHA Amotization'!$A83,360,'Owner Occupier'!$D$40,0,0)</f>
        <v>871.8913370811714</v>
      </c>
      <c r="C83" s="4">
        <f>-IPMT('Owner Occupier'!$D$41/12,'FHA Amotization'!$A83,360,'Owner Occupier'!$D$40,0,0)</f>
        <v>1482.6822853821798</v>
      </c>
      <c r="D83" s="4">
        <f t="shared" si="3"/>
        <v>2354.5736224633511</v>
      </c>
      <c r="E83" s="3">
        <f t="shared" si="4"/>
        <v>417767.81277082831</v>
      </c>
      <c r="F83" s="4">
        <f>('Owner Occupier'!$H$24-'Owner Occupier'!$D$52)/('Owner Occupier'!$D$56-'Owner Occupier'!$D$52)*B83</f>
        <v>411.32116540501454</v>
      </c>
      <c r="G83" s="4">
        <f t="shared" si="5"/>
        <v>28712.350585355463</v>
      </c>
    </row>
    <row r="84" spans="1:7" x14ac:dyDescent="0.25">
      <c r="A84">
        <v>81</v>
      </c>
      <c r="B84" s="4">
        <f>-PPMT('Owner Occupier'!$D$41/12,'FHA Amotization'!$A84,360,'Owner Occupier'!$D$40,0,0)</f>
        <v>874.97928556666716</v>
      </c>
      <c r="C84" s="4">
        <f>-IPMT('Owner Occupier'!$D$41/12,'FHA Amotization'!$A84,360,'Owner Occupier'!$D$40,0,0)</f>
        <v>1479.5943368966837</v>
      </c>
      <c r="D84" s="4">
        <f t="shared" si="3"/>
        <v>2354.5736224633511</v>
      </c>
      <c r="E84" s="3">
        <f t="shared" si="4"/>
        <v>416892.83348526165</v>
      </c>
      <c r="F84" s="4">
        <f>('Owner Occupier'!$H$24-'Owner Occupier'!$D$52)/('Owner Occupier'!$D$56-'Owner Occupier'!$D$52)*B84</f>
        <v>412.77792786582398</v>
      </c>
      <c r="G84" s="4">
        <f t="shared" si="5"/>
        <v>29125.128513221287</v>
      </c>
    </row>
    <row r="85" spans="1:7" x14ac:dyDescent="0.25">
      <c r="A85">
        <v>82</v>
      </c>
      <c r="B85" s="4">
        <f>-PPMT('Owner Occupier'!$D$41/12,'FHA Amotization'!$A85,360,'Owner Occupier'!$D$40,0,0)</f>
        <v>878.07817053638234</v>
      </c>
      <c r="C85" s="4">
        <f>-IPMT('Owner Occupier'!$D$41/12,'FHA Amotization'!$A85,360,'Owner Occupier'!$D$40,0,0)</f>
        <v>1476.4954519269686</v>
      </c>
      <c r="D85" s="4">
        <f t="shared" si="3"/>
        <v>2354.5736224633511</v>
      </c>
      <c r="E85" s="3">
        <f t="shared" si="4"/>
        <v>416014.75531472528</v>
      </c>
      <c r="F85" s="4">
        <f>('Owner Occupier'!$H$24-'Owner Occupier'!$D$52)/('Owner Occupier'!$D$56-'Owner Occupier'!$D$52)*B85</f>
        <v>414.23984969368206</v>
      </c>
      <c r="G85" s="4">
        <f t="shared" si="5"/>
        <v>29539.368362914967</v>
      </c>
    </row>
    <row r="86" spans="1:7" x14ac:dyDescent="0.25">
      <c r="A86">
        <v>83</v>
      </c>
      <c r="B86" s="4">
        <f>-PPMT('Owner Occupier'!$D$41/12,'FHA Amotization'!$A86,360,'Owner Occupier'!$D$40,0,0)</f>
        <v>881.18803072369883</v>
      </c>
      <c r="C86" s="4">
        <f>-IPMT('Owner Occupier'!$D$41/12,'FHA Amotization'!$A86,360,'Owner Occupier'!$D$40,0,0)</f>
        <v>1473.3855917396522</v>
      </c>
      <c r="D86" s="4">
        <f t="shared" si="3"/>
        <v>2354.5736224633511</v>
      </c>
      <c r="E86" s="3">
        <f t="shared" si="4"/>
        <v>415133.56728400156</v>
      </c>
      <c r="F86" s="4">
        <f>('Owner Occupier'!$H$24-'Owner Occupier'!$D$52)/('Owner Occupier'!$D$56-'Owner Occupier'!$D$52)*B86</f>
        <v>415.70694916134721</v>
      </c>
      <c r="G86" s="4">
        <f t="shared" si="5"/>
        <v>29955.075312076315</v>
      </c>
    </row>
    <row r="87" spans="1:7" x14ac:dyDescent="0.25">
      <c r="A87">
        <v>84</v>
      </c>
      <c r="B87" s="4">
        <f>-PPMT('Owner Occupier'!$D$41/12,'FHA Amotization'!$A87,360,'Owner Occupier'!$D$40,0,0)</f>
        <v>884.30890499917859</v>
      </c>
      <c r="C87" s="4">
        <f>-IPMT('Owner Occupier'!$D$41/12,'FHA Amotization'!$A87,360,'Owner Occupier'!$D$40,0,0)</f>
        <v>1470.2647174641725</v>
      </c>
      <c r="D87" s="4">
        <f t="shared" si="3"/>
        <v>2354.5736224633511</v>
      </c>
      <c r="E87" s="3">
        <f t="shared" si="4"/>
        <v>414249.25837900239</v>
      </c>
      <c r="F87" s="4">
        <f>('Owner Occupier'!$H$24-'Owner Occupier'!$D$52)/('Owner Occupier'!$D$56-'Owner Occupier'!$D$52)*B87</f>
        <v>417.17924460629365</v>
      </c>
      <c r="G87" s="4">
        <f t="shared" si="5"/>
        <v>30372.254556682608</v>
      </c>
    </row>
    <row r="88" spans="1:7" x14ac:dyDescent="0.25">
      <c r="A88">
        <v>85</v>
      </c>
      <c r="B88" s="4">
        <f>-PPMT('Owner Occupier'!$D$41/12,'FHA Amotization'!$A88,360,'Owner Occupier'!$D$40,0,0)</f>
        <v>887.44083237105053</v>
      </c>
      <c r="C88" s="4">
        <f>-IPMT('Owner Occupier'!$D$41/12,'FHA Amotization'!$A88,360,'Owner Occupier'!$D$40,0,0)</f>
        <v>1467.1327900923004</v>
      </c>
      <c r="D88" s="4">
        <f t="shared" si="3"/>
        <v>2354.5736224633511</v>
      </c>
      <c r="E88" s="3">
        <f t="shared" si="4"/>
        <v>413361.81754663133</v>
      </c>
      <c r="F88" s="4">
        <f>('Owner Occupier'!$H$24-'Owner Occupier'!$D$52)/('Owner Occupier'!$D$56-'Owner Occupier'!$D$52)*B88</f>
        <v>418.65675443094091</v>
      </c>
      <c r="G88" s="4">
        <f t="shared" si="5"/>
        <v>30790.911311113548</v>
      </c>
    </row>
    <row r="89" spans="1:7" x14ac:dyDescent="0.25">
      <c r="A89">
        <v>86</v>
      </c>
      <c r="B89" s="4">
        <f>-PPMT('Owner Occupier'!$D$41/12,'FHA Amotization'!$A89,360,'Owner Occupier'!$D$40,0,0)</f>
        <v>890.58385198569806</v>
      </c>
      <c r="C89" s="4">
        <f>-IPMT('Owner Occupier'!$D$41/12,'FHA Amotization'!$A89,360,'Owner Occupier'!$D$40,0,0)</f>
        <v>1463.9897704776531</v>
      </c>
      <c r="D89" s="4">
        <f t="shared" si="3"/>
        <v>2354.5736224633511</v>
      </c>
      <c r="E89" s="3">
        <f t="shared" si="4"/>
        <v>412471.23369464563</v>
      </c>
      <c r="F89" s="4">
        <f>('Owner Occupier'!$H$24-'Owner Occupier'!$D$52)/('Owner Occupier'!$D$56-'Owner Occupier'!$D$52)*B89</f>
        <v>420.13949710288381</v>
      </c>
      <c r="G89" s="4">
        <f t="shared" si="5"/>
        <v>31211.050808216431</v>
      </c>
    </row>
    <row r="90" spans="1:7" x14ac:dyDescent="0.25">
      <c r="A90">
        <v>87</v>
      </c>
      <c r="B90" s="4">
        <f>-PPMT('Owner Occupier'!$D$41/12,'FHA Amotization'!$A90,360,'Owner Occupier'!$D$40,0,0)</f>
        <v>893.73800312814751</v>
      </c>
      <c r="C90" s="4">
        <f>-IPMT('Owner Occupier'!$D$41/12,'FHA Amotization'!$A90,360,'Owner Occupier'!$D$40,0,0)</f>
        <v>1460.8356193352035</v>
      </c>
      <c r="D90" s="4">
        <f t="shared" si="3"/>
        <v>2354.5736224633511</v>
      </c>
      <c r="E90" s="3">
        <f t="shared" si="4"/>
        <v>411577.49569151748</v>
      </c>
      <c r="F90" s="4">
        <f>('Owner Occupier'!$H$24-'Owner Occupier'!$D$52)/('Owner Occupier'!$D$56-'Owner Occupier'!$D$52)*B90</f>
        <v>421.62749115512327</v>
      </c>
      <c r="G90" s="4">
        <f t="shared" si="5"/>
        <v>31632.678299371553</v>
      </c>
    </row>
    <row r="91" spans="1:7" x14ac:dyDescent="0.25">
      <c r="A91">
        <v>88</v>
      </c>
      <c r="B91" s="4">
        <f>-PPMT('Owner Occupier'!$D$41/12,'FHA Amotization'!$A91,360,'Owner Occupier'!$D$40,0,0)</f>
        <v>896.9033252225596</v>
      </c>
      <c r="C91" s="4">
        <f>-IPMT('Owner Occupier'!$D$41/12,'FHA Amotization'!$A91,360,'Owner Occupier'!$D$40,0,0)</f>
        <v>1457.6702972407913</v>
      </c>
      <c r="D91" s="4">
        <f t="shared" si="3"/>
        <v>2354.5736224633511</v>
      </c>
      <c r="E91" s="3">
        <f t="shared" si="4"/>
        <v>410680.59236629494</v>
      </c>
      <c r="F91" s="4">
        <f>('Owner Occupier'!$H$24-'Owner Occupier'!$D$52)/('Owner Occupier'!$D$56-'Owner Occupier'!$D$52)*B91</f>
        <v>423.12075518629757</v>
      </c>
      <c r="G91" s="4">
        <f t="shared" si="5"/>
        <v>32055.79905455785</v>
      </c>
    </row>
    <row r="92" spans="1:7" x14ac:dyDescent="0.25">
      <c r="A92">
        <v>89</v>
      </c>
      <c r="B92" s="4">
        <f>-PPMT('Owner Occupier'!$D$41/12,'FHA Amotization'!$A92,360,'Owner Occupier'!$D$40,0,0)</f>
        <v>900.07985783272295</v>
      </c>
      <c r="C92" s="4">
        <f>-IPMT('Owner Occupier'!$D$41/12,'FHA Amotization'!$A92,360,'Owner Occupier'!$D$40,0,0)</f>
        <v>1454.4937646306282</v>
      </c>
      <c r="D92" s="4">
        <f t="shared" si="3"/>
        <v>2354.5736224633511</v>
      </c>
      <c r="E92" s="3">
        <f t="shared" si="4"/>
        <v>409780.51250846224</v>
      </c>
      <c r="F92" s="4">
        <f>('Owner Occupier'!$H$24-'Owner Occupier'!$D$52)/('Owner Occupier'!$D$56-'Owner Occupier'!$D$52)*B92</f>
        <v>424.6193078609158</v>
      </c>
      <c r="G92" s="4">
        <f t="shared" si="5"/>
        <v>32480.418362418764</v>
      </c>
    </row>
    <row r="93" spans="1:7" x14ac:dyDescent="0.25">
      <c r="A93">
        <v>90</v>
      </c>
      <c r="B93" s="4">
        <f>-PPMT('Owner Occupier'!$D$41/12,'FHA Amotization'!$A93,360,'Owner Occupier'!$D$40,0,0)</f>
        <v>903.26764066254702</v>
      </c>
      <c r="C93" s="4">
        <f>-IPMT('Owner Occupier'!$D$41/12,'FHA Amotization'!$A93,360,'Owner Occupier'!$D$40,0,0)</f>
        <v>1451.3059818008041</v>
      </c>
      <c r="D93" s="4">
        <f t="shared" si="3"/>
        <v>2354.5736224633511</v>
      </c>
      <c r="E93" s="3">
        <f t="shared" si="4"/>
        <v>408877.24486779969</v>
      </c>
      <c r="F93" s="4">
        <f>('Owner Occupier'!$H$24-'Owner Occupier'!$D$52)/('Owner Occupier'!$D$56-'Owner Occupier'!$D$52)*B93</f>
        <v>426.12316790958977</v>
      </c>
      <c r="G93" s="4">
        <f t="shared" si="5"/>
        <v>32906.541530328352</v>
      </c>
    </row>
    <row r="94" spans="1:7" x14ac:dyDescent="0.25">
      <c r="A94">
        <v>91</v>
      </c>
      <c r="B94" s="4">
        <f>-PPMT('Owner Occupier'!$D$41/12,'FHA Amotization'!$A94,360,'Owner Occupier'!$D$40,0,0)</f>
        <v>906.46671355656031</v>
      </c>
      <c r="C94" s="4">
        <f>-IPMT('Owner Occupier'!$D$41/12,'FHA Amotization'!$A94,360,'Owner Occupier'!$D$40,0,0)</f>
        <v>1448.106908906791</v>
      </c>
      <c r="D94" s="4">
        <f t="shared" si="3"/>
        <v>2354.5736224633511</v>
      </c>
      <c r="E94" s="3">
        <f t="shared" si="4"/>
        <v>407970.77815424313</v>
      </c>
      <c r="F94" s="4">
        <f>('Owner Occupier'!$H$24-'Owner Occupier'!$D$52)/('Owner Occupier'!$D$56-'Owner Occupier'!$D$52)*B94</f>
        <v>427.63235412926963</v>
      </c>
      <c r="G94" s="4">
        <f t="shared" si="5"/>
        <v>33334.173884457625</v>
      </c>
    </row>
    <row r="95" spans="1:7" x14ac:dyDescent="0.25">
      <c r="A95">
        <v>92</v>
      </c>
      <c r="B95" s="4">
        <f>-PPMT('Owner Occupier'!$D$41/12,'FHA Amotization'!$A95,360,'Owner Occupier'!$D$40,0,0)</f>
        <v>909.67711650040644</v>
      </c>
      <c r="C95" s="4">
        <f>-IPMT('Owner Occupier'!$D$41/12,'FHA Amotization'!$A95,360,'Owner Occupier'!$D$40,0,0)</f>
        <v>1444.8965059629447</v>
      </c>
      <c r="D95" s="4">
        <f t="shared" si="3"/>
        <v>2354.5736224633511</v>
      </c>
      <c r="E95" s="3">
        <f t="shared" si="4"/>
        <v>407061.10103774274</v>
      </c>
      <c r="F95" s="4">
        <f>('Owner Occupier'!$H$24-'Owner Occupier'!$D$52)/('Owner Occupier'!$D$56-'Owner Occupier'!$D$52)*B95</f>
        <v>429.14688538347747</v>
      </c>
      <c r="G95" s="4">
        <f t="shared" si="5"/>
        <v>33763.320769841099</v>
      </c>
    </row>
    <row r="96" spans="1:7" x14ac:dyDescent="0.25">
      <c r="A96">
        <v>93</v>
      </c>
      <c r="B96" s="4">
        <f>-PPMT('Owner Occupier'!$D$41/12,'FHA Amotization'!$A96,360,'Owner Occupier'!$D$40,0,0)</f>
        <v>912.89888962134546</v>
      </c>
      <c r="C96" s="4">
        <f>-IPMT('Owner Occupier'!$D$41/12,'FHA Amotization'!$A96,360,'Owner Occupier'!$D$40,0,0)</f>
        <v>1441.6747328420056</v>
      </c>
      <c r="D96" s="4">
        <f t="shared" si="3"/>
        <v>2354.5736224633511</v>
      </c>
      <c r="E96" s="3">
        <f t="shared" si="4"/>
        <v>406148.20214812137</v>
      </c>
      <c r="F96" s="4">
        <f>('Owner Occupier'!$H$24-'Owner Occupier'!$D$52)/('Owner Occupier'!$D$56-'Owner Occupier'!$D$52)*B96</f>
        <v>430.66678060254401</v>
      </c>
      <c r="G96" s="4">
        <f t="shared" si="5"/>
        <v>34193.987550443642</v>
      </c>
    </row>
    <row r="97" spans="1:7" x14ac:dyDescent="0.25">
      <c r="A97">
        <v>94</v>
      </c>
      <c r="B97" s="4">
        <f>-PPMT('Owner Occupier'!$D$41/12,'FHA Amotization'!$A97,360,'Owner Occupier'!$D$40,0,0)</f>
        <v>916.13207318875425</v>
      </c>
      <c r="C97" s="4">
        <f>-IPMT('Owner Occupier'!$D$41/12,'FHA Amotization'!$A97,360,'Owner Occupier'!$D$40,0,0)</f>
        <v>1438.4415492745968</v>
      </c>
      <c r="D97" s="4">
        <f t="shared" si="3"/>
        <v>2354.5736224633511</v>
      </c>
      <c r="E97" s="3">
        <f t="shared" si="4"/>
        <v>405232.07007493259</v>
      </c>
      <c r="F97" s="4">
        <f>('Owner Occupier'!$H$24-'Owner Occupier'!$D$52)/('Owner Occupier'!$D$56-'Owner Occupier'!$D$52)*B97</f>
        <v>432.19205878384457</v>
      </c>
      <c r="G97" s="4">
        <f t="shared" si="5"/>
        <v>34626.179609227489</v>
      </c>
    </row>
    <row r="98" spans="1:7" x14ac:dyDescent="0.25">
      <c r="A98">
        <v>95</v>
      </c>
      <c r="B98" s="4">
        <f>-PPMT('Owner Occupier'!$D$41/12,'FHA Amotization'!$A98,360,'Owner Occupier'!$D$40,0,0)</f>
        <v>919.37670761463107</v>
      </c>
      <c r="C98" s="4">
        <f>-IPMT('Owner Occupier'!$D$41/12,'FHA Amotization'!$A98,360,'Owner Occupier'!$D$40,0,0)</f>
        <v>1435.1969148487199</v>
      </c>
      <c r="D98" s="4">
        <f t="shared" si="3"/>
        <v>2354.5736224633511</v>
      </c>
      <c r="E98" s="3">
        <f t="shared" si="4"/>
        <v>404312.69336731796</v>
      </c>
      <c r="F98" s="4">
        <f>('Owner Occupier'!$H$24-'Owner Occupier'!$D$52)/('Owner Occupier'!$D$56-'Owner Occupier'!$D$52)*B98</f>
        <v>433.72273899203736</v>
      </c>
      <c r="G98" s="4">
        <f t="shared" si="5"/>
        <v>35059.902348219526</v>
      </c>
    </row>
    <row r="99" spans="1:7" x14ac:dyDescent="0.25">
      <c r="A99">
        <v>96</v>
      </c>
      <c r="B99" s="4">
        <f>-PPMT('Owner Occupier'!$D$41/12,'FHA Amotization'!$A99,360,'Owner Occupier'!$D$40,0,0)</f>
        <v>922.63283345409957</v>
      </c>
      <c r="C99" s="4">
        <f>-IPMT('Owner Occupier'!$D$41/12,'FHA Amotization'!$A99,360,'Owner Occupier'!$D$40,0,0)</f>
        <v>1431.9407890092511</v>
      </c>
      <c r="D99" s="4">
        <f t="shared" si="3"/>
        <v>2354.5736224633506</v>
      </c>
      <c r="E99" s="3">
        <f t="shared" si="4"/>
        <v>403390.06053386384</v>
      </c>
      <c r="F99" s="4">
        <f>('Owner Occupier'!$H$24-'Owner Occupier'!$D$52)/('Owner Occupier'!$D$56-'Owner Occupier'!$D$52)*B99</f>
        <v>435.25884035930085</v>
      </c>
      <c r="G99" s="4">
        <f t="shared" si="5"/>
        <v>35495.16118857883</v>
      </c>
    </row>
    <row r="100" spans="1:7" x14ac:dyDescent="0.25">
      <c r="A100">
        <v>97</v>
      </c>
      <c r="B100" s="4">
        <f>-PPMT('Owner Occupier'!$D$41/12,'FHA Amotization'!$A100,360,'Owner Occupier'!$D$40,0,0)</f>
        <v>925.90049140591623</v>
      </c>
      <c r="C100" s="4">
        <f>-IPMT('Owner Occupier'!$D$41/12,'FHA Amotization'!$A100,360,'Owner Occupier'!$D$40,0,0)</f>
        <v>1428.6731310574351</v>
      </c>
      <c r="D100" s="4">
        <f t="shared" si="3"/>
        <v>2354.5736224633511</v>
      </c>
      <c r="E100" s="3">
        <f t="shared" si="4"/>
        <v>402464.16004245792</v>
      </c>
      <c r="F100" s="4">
        <f>('Owner Occupier'!$H$24-'Owner Occupier'!$D$52)/('Owner Occupier'!$D$56-'Owner Occupier'!$D$52)*B100</f>
        <v>436.8003820855734</v>
      </c>
      <c r="G100" s="4">
        <f t="shared" si="5"/>
        <v>35931.961570664404</v>
      </c>
    </row>
    <row r="101" spans="1:7" x14ac:dyDescent="0.25">
      <c r="A101">
        <v>98</v>
      </c>
      <c r="B101" s="4">
        <f>-PPMT('Owner Occupier'!$D$41/12,'FHA Amotization'!$A101,360,'Owner Occupier'!$D$40,0,0)</f>
        <v>929.17972231297881</v>
      </c>
      <c r="C101" s="4">
        <f>-IPMT('Owner Occupier'!$D$41/12,'FHA Amotization'!$A101,360,'Owner Occupier'!$D$40,0,0)</f>
        <v>1425.393900150372</v>
      </c>
      <c r="D101" s="4">
        <f t="shared" si="3"/>
        <v>2354.5736224633511</v>
      </c>
      <c r="E101" s="3">
        <f t="shared" si="4"/>
        <v>401534.98032014497</v>
      </c>
      <c r="F101" s="4">
        <f>('Owner Occupier'!$H$24-'Owner Occupier'!$D$52)/('Owner Occupier'!$D$56-'Owner Occupier'!$D$52)*B101</f>
        <v>438.34738343879309</v>
      </c>
      <c r="G101" s="4">
        <f t="shared" si="5"/>
        <v>36370.308954103195</v>
      </c>
    </row>
    <row r="102" spans="1:7" x14ac:dyDescent="0.25">
      <c r="A102">
        <v>99</v>
      </c>
      <c r="B102" s="4">
        <f>-PPMT('Owner Occupier'!$D$41/12,'FHA Amotization'!$A102,360,'Owner Occupier'!$D$40,0,0)</f>
        <v>932.47056716283737</v>
      </c>
      <c r="C102" s="4">
        <f>-IPMT('Owner Occupier'!$D$41/12,'FHA Amotization'!$A102,360,'Owner Occupier'!$D$40,0,0)</f>
        <v>1422.1030553005139</v>
      </c>
      <c r="D102" s="4">
        <f t="shared" si="3"/>
        <v>2354.5736224633511</v>
      </c>
      <c r="E102" s="3">
        <f t="shared" si="4"/>
        <v>400602.50975298212</v>
      </c>
      <c r="F102" s="4">
        <f>('Owner Occupier'!$H$24-'Owner Occupier'!$D$52)/('Owner Occupier'!$D$56-'Owner Occupier'!$D$52)*B102</f>
        <v>439.89986375513888</v>
      </c>
      <c r="G102" s="4">
        <f t="shared" si="5"/>
        <v>36810.208817858336</v>
      </c>
    </row>
    <row r="103" spans="1:7" x14ac:dyDescent="0.25">
      <c r="A103">
        <v>100</v>
      </c>
      <c r="B103" s="4">
        <f>-PPMT('Owner Occupier'!$D$41/12,'FHA Amotization'!$A103,360,'Owner Occupier'!$D$40,0,0)</f>
        <v>935.77306708820561</v>
      </c>
      <c r="C103" s="4">
        <f>-IPMT('Owner Occupier'!$D$41/12,'FHA Amotization'!$A103,360,'Owner Occupier'!$D$40,0,0)</f>
        <v>1418.8005553751454</v>
      </c>
      <c r="D103" s="4">
        <f t="shared" si="3"/>
        <v>2354.5736224633511</v>
      </c>
      <c r="E103" s="3">
        <f t="shared" si="4"/>
        <v>399666.73668589391</v>
      </c>
      <c r="F103" s="4">
        <f>('Owner Occupier'!$H$24-'Owner Occupier'!$D$52)/('Owner Occupier'!$D$56-'Owner Occupier'!$D$52)*B103</f>
        <v>441.45784243927159</v>
      </c>
      <c r="G103" s="4">
        <f t="shared" si="5"/>
        <v>37251.666660297611</v>
      </c>
    </row>
    <row r="104" spans="1:7" x14ac:dyDescent="0.25">
      <c r="A104">
        <v>101</v>
      </c>
      <c r="B104" s="4">
        <f>-PPMT('Owner Occupier'!$D$41/12,'FHA Amotization'!$A104,360,'Owner Occupier'!$D$40,0,0)</f>
        <v>939.08726336747634</v>
      </c>
      <c r="C104" s="4">
        <f>-IPMT('Owner Occupier'!$D$41/12,'FHA Amotization'!$A104,360,'Owner Occupier'!$D$40,0,0)</f>
        <v>1415.4863590958746</v>
      </c>
      <c r="D104" s="4">
        <f t="shared" si="3"/>
        <v>2354.5736224633511</v>
      </c>
      <c r="E104" s="3">
        <f t="shared" si="4"/>
        <v>398727.64942252642</v>
      </c>
      <c r="F104" s="4">
        <f>('Owner Occupier'!$H$24-'Owner Occupier'!$D$52)/('Owner Occupier'!$D$56-'Owner Occupier'!$D$52)*B104</f>
        <v>443.02133896457735</v>
      </c>
      <c r="G104" s="4">
        <f t="shared" si="5"/>
        <v>37694.687999262191</v>
      </c>
    </row>
    <row r="105" spans="1:7" x14ac:dyDescent="0.25">
      <c r="A105">
        <v>102</v>
      </c>
      <c r="B105" s="4">
        <f>-PPMT('Owner Occupier'!$D$41/12,'FHA Amotization'!$A105,360,'Owner Occupier'!$D$40,0,0)</f>
        <v>942.41319742523626</v>
      </c>
      <c r="C105" s="4">
        <f>-IPMT('Owner Occupier'!$D$41/12,'FHA Amotization'!$A105,360,'Owner Occupier'!$D$40,0,0)</f>
        <v>1412.1604250381151</v>
      </c>
      <c r="D105" s="4">
        <f t="shared" si="3"/>
        <v>2354.5736224633515</v>
      </c>
      <c r="E105" s="3">
        <f t="shared" si="4"/>
        <v>397785.23622510117</v>
      </c>
      <c r="F105" s="4">
        <f>('Owner Occupier'!$H$24-'Owner Occupier'!$D$52)/('Owner Occupier'!$D$56-'Owner Occupier'!$D$52)*B105</f>
        <v>444.59037287341027</v>
      </c>
      <c r="G105" s="4">
        <f t="shared" si="5"/>
        <v>38139.278372135603</v>
      </c>
    </row>
    <row r="106" spans="1:7" x14ac:dyDescent="0.25">
      <c r="A106">
        <v>103</v>
      </c>
      <c r="B106" s="4">
        <f>-PPMT('Owner Occupier'!$D$41/12,'FHA Amotization'!$A106,360,'Owner Occupier'!$D$40,0,0)</f>
        <v>945.75091083278403</v>
      </c>
      <c r="C106" s="4">
        <f>-IPMT('Owner Occupier'!$D$41/12,'FHA Amotization'!$A106,360,'Owner Occupier'!$D$40,0,0)</f>
        <v>1408.8227116305673</v>
      </c>
      <c r="D106" s="4">
        <f t="shared" si="3"/>
        <v>2354.5736224633511</v>
      </c>
      <c r="E106" s="3">
        <f t="shared" si="4"/>
        <v>396839.48531426839</v>
      </c>
      <c r="F106" s="4">
        <f>('Owner Occupier'!$H$24-'Owner Occupier'!$D$52)/('Owner Occupier'!$D$56-'Owner Occupier'!$D$52)*B106</f>
        <v>446.16496377733699</v>
      </c>
      <c r="G106" s="4">
        <f t="shared" si="5"/>
        <v>38585.44333591294</v>
      </c>
    </row>
    <row r="107" spans="1:7" x14ac:dyDescent="0.25">
      <c r="A107">
        <v>104</v>
      </c>
      <c r="B107" s="4">
        <f>-PPMT('Owner Occupier'!$D$41/12,'FHA Amotization'!$A107,360,'Owner Occupier'!$D$40,0,0)</f>
        <v>949.10044530865014</v>
      </c>
      <c r="C107" s="4">
        <f>-IPMT('Owner Occupier'!$D$41/12,'FHA Amotization'!$A107,360,'Owner Occupier'!$D$40,0,0)</f>
        <v>1405.473177154701</v>
      </c>
      <c r="D107" s="4">
        <f t="shared" si="3"/>
        <v>2354.5736224633511</v>
      </c>
      <c r="E107" s="3">
        <f t="shared" si="4"/>
        <v>395890.38486895972</v>
      </c>
      <c r="F107" s="4">
        <f>('Owner Occupier'!$H$24-'Owner Occupier'!$D$52)/('Owner Occupier'!$D$56-'Owner Occupier'!$D$52)*B107</f>
        <v>447.74513135738169</v>
      </c>
      <c r="G107" s="4">
        <f t="shared" si="5"/>
        <v>39033.188467270324</v>
      </c>
    </row>
    <row r="108" spans="1:7" x14ac:dyDescent="0.25">
      <c r="A108">
        <v>105</v>
      </c>
      <c r="B108" s="4">
        <f>-PPMT('Owner Occupier'!$D$41/12,'FHA Amotization'!$A108,360,'Owner Occupier'!$D$40,0,0)</f>
        <v>952.46184271911807</v>
      </c>
      <c r="C108" s="4">
        <f>-IPMT('Owner Occupier'!$D$41/12,'FHA Amotization'!$A108,360,'Owner Occupier'!$D$40,0,0)</f>
        <v>1402.111779744233</v>
      </c>
      <c r="D108" s="4">
        <f t="shared" si="3"/>
        <v>2354.5736224633511</v>
      </c>
      <c r="E108" s="3">
        <f t="shared" si="4"/>
        <v>394937.92302624061</v>
      </c>
      <c r="F108" s="4">
        <f>('Owner Occupier'!$H$24-'Owner Occupier'!$D$52)/('Owner Occupier'!$D$56-'Owner Occupier'!$D$52)*B108</f>
        <v>449.33089536427235</v>
      </c>
      <c r="G108" s="4">
        <f t="shared" si="5"/>
        <v>39482.519362634594</v>
      </c>
    </row>
    <row r="109" spans="1:7" x14ac:dyDescent="0.25">
      <c r="A109">
        <v>106</v>
      </c>
      <c r="B109" s="4">
        <f>-PPMT('Owner Occupier'!$D$41/12,'FHA Amotization'!$A109,360,'Owner Occupier'!$D$40,0,0)</f>
        <v>955.8351450787485</v>
      </c>
      <c r="C109" s="4">
        <f>-IPMT('Owner Occupier'!$D$41/12,'FHA Amotization'!$A109,360,'Owner Occupier'!$D$40,0,0)</f>
        <v>1398.7384773846027</v>
      </c>
      <c r="D109" s="4">
        <f t="shared" si="3"/>
        <v>2354.5736224633511</v>
      </c>
      <c r="E109" s="3">
        <f t="shared" si="4"/>
        <v>393982.08788116183</v>
      </c>
      <c r="F109" s="4">
        <f>('Owner Occupier'!$H$24-'Owner Occupier'!$D$52)/('Owner Occupier'!$D$56-'Owner Occupier'!$D$52)*B109</f>
        <v>450.92227561868759</v>
      </c>
      <c r="G109" s="4">
        <f t="shared" si="5"/>
        <v>39933.44163825328</v>
      </c>
    </row>
    <row r="110" spans="1:7" x14ac:dyDescent="0.25">
      <c r="A110">
        <v>107</v>
      </c>
      <c r="B110" s="4">
        <f>-PPMT('Owner Occupier'!$D$41/12,'FHA Amotization'!$A110,360,'Owner Occupier'!$D$40,0,0)</f>
        <v>959.22039455090226</v>
      </c>
      <c r="C110" s="4">
        <f>-IPMT('Owner Occupier'!$D$41/12,'FHA Amotization'!$A110,360,'Owner Occupier'!$D$40,0,0)</f>
        <v>1395.3532279124488</v>
      </c>
      <c r="D110" s="4">
        <f t="shared" si="3"/>
        <v>2354.5736224633511</v>
      </c>
      <c r="E110" s="3">
        <f t="shared" si="4"/>
        <v>393022.86748661095</v>
      </c>
      <c r="F110" s="4">
        <f>('Owner Occupier'!$H$24-'Owner Occupier'!$D$52)/('Owner Occupier'!$D$56-'Owner Occupier'!$D$52)*B110</f>
        <v>452.51929201150369</v>
      </c>
      <c r="G110" s="4">
        <f t="shared" si="5"/>
        <v>40385.96093026478</v>
      </c>
    </row>
    <row r="111" spans="1:7" x14ac:dyDescent="0.25">
      <c r="A111">
        <v>108</v>
      </c>
      <c r="B111" s="4">
        <f>-PPMT('Owner Occupier'!$D$41/12,'FHA Amotization'!$A111,360,'Owner Occupier'!$D$40,0,0)</f>
        <v>962.61763344827</v>
      </c>
      <c r="C111" s="4">
        <f>-IPMT('Owner Occupier'!$D$41/12,'FHA Amotization'!$A111,360,'Owner Occupier'!$D$40,0,0)</f>
        <v>1391.9559890150811</v>
      </c>
      <c r="D111" s="4">
        <f t="shared" si="3"/>
        <v>2354.5736224633511</v>
      </c>
      <c r="E111" s="3">
        <f t="shared" si="4"/>
        <v>392060.24985316268</v>
      </c>
      <c r="F111" s="4">
        <f>('Owner Occupier'!$H$24-'Owner Occupier'!$D$52)/('Owner Occupier'!$D$56-'Owner Occupier'!$D$52)*B111</f>
        <v>454.1219645040444</v>
      </c>
      <c r="G111" s="4">
        <f t="shared" si="5"/>
        <v>40840.082894768828</v>
      </c>
    </row>
    <row r="112" spans="1:7" x14ac:dyDescent="0.25">
      <c r="A112">
        <v>109</v>
      </c>
      <c r="B112" s="4">
        <f>-PPMT('Owner Occupier'!$D$41/12,'FHA Amotization'!$A112,360,'Owner Occupier'!$D$40,0,0)</f>
        <v>966.02690423339948</v>
      </c>
      <c r="C112" s="4">
        <f>-IPMT('Owner Occupier'!$D$41/12,'FHA Amotization'!$A112,360,'Owner Occupier'!$D$40,0,0)</f>
        <v>1388.5467182299517</v>
      </c>
      <c r="D112" s="4">
        <f t="shared" si="3"/>
        <v>2354.5736224633511</v>
      </c>
      <c r="E112" s="3">
        <f t="shared" si="4"/>
        <v>391094.22294892929</v>
      </c>
      <c r="F112" s="4">
        <f>('Owner Occupier'!$H$24-'Owner Occupier'!$D$52)/('Owner Occupier'!$D$56-'Owner Occupier'!$D$52)*B112</f>
        <v>455.73031312832967</v>
      </c>
      <c r="G112" s="4">
        <f t="shared" si="5"/>
        <v>41295.813207897154</v>
      </c>
    </row>
    <row r="113" spans="1:7" x14ac:dyDescent="0.25">
      <c r="A113">
        <v>110</v>
      </c>
      <c r="B113" s="4">
        <f>-PPMT('Owner Occupier'!$D$41/12,'FHA Amotization'!$A113,360,'Owner Occupier'!$D$40,0,0)</f>
        <v>969.44824951922601</v>
      </c>
      <c r="C113" s="4">
        <f>-IPMT('Owner Occupier'!$D$41/12,'FHA Amotization'!$A113,360,'Owner Occupier'!$D$40,0,0)</f>
        <v>1385.125372944125</v>
      </c>
      <c r="D113" s="4">
        <f t="shared" si="3"/>
        <v>2354.5736224633511</v>
      </c>
      <c r="E113" s="3">
        <f t="shared" si="4"/>
        <v>390124.77469941007</v>
      </c>
      <c r="F113" s="4">
        <f>('Owner Occupier'!$H$24-'Owner Occupier'!$D$52)/('Owner Occupier'!$D$56-'Owner Occupier'!$D$52)*B113</f>
        <v>457.34435798732579</v>
      </c>
      <c r="G113" s="4">
        <f t="shared" si="5"/>
        <v>41753.157565884481</v>
      </c>
    </row>
    <row r="114" spans="1:7" x14ac:dyDescent="0.25">
      <c r="A114">
        <v>111</v>
      </c>
      <c r="B114" s="4">
        <f>-PPMT('Owner Occupier'!$D$41/12,'FHA Amotization'!$A114,360,'Owner Occupier'!$D$40,0,0)</f>
        <v>972.88171206960658</v>
      </c>
      <c r="C114" s="4">
        <f>-IPMT('Owner Occupier'!$D$41/12,'FHA Amotization'!$A114,360,'Owner Occupier'!$D$40,0,0)</f>
        <v>1381.6919103937448</v>
      </c>
      <c r="D114" s="4">
        <f t="shared" si="3"/>
        <v>2354.5736224633515</v>
      </c>
      <c r="E114" s="3">
        <f t="shared" si="4"/>
        <v>389151.89298734046</v>
      </c>
      <c r="F114" s="4">
        <f>('Owner Occupier'!$H$24-'Owner Occupier'!$D$52)/('Owner Occupier'!$D$56-'Owner Occupier'!$D$52)*B114</f>
        <v>458.96411925519755</v>
      </c>
      <c r="G114" s="4">
        <f t="shared" si="5"/>
        <v>42212.121685139682</v>
      </c>
    </row>
    <row r="115" spans="1:7" x14ac:dyDescent="0.25">
      <c r="A115">
        <v>112</v>
      </c>
      <c r="B115" s="4">
        <f>-PPMT('Owner Occupier'!$D$41/12,'FHA Amotization'!$A115,360,'Owner Occupier'!$D$40,0,0)</f>
        <v>976.32733479985302</v>
      </c>
      <c r="C115" s="4">
        <f>-IPMT('Owner Occupier'!$D$41/12,'FHA Amotization'!$A115,360,'Owner Occupier'!$D$40,0,0)</f>
        <v>1378.2462876634977</v>
      </c>
      <c r="D115" s="4">
        <f t="shared" si="3"/>
        <v>2354.5736224633506</v>
      </c>
      <c r="E115" s="3">
        <f t="shared" si="4"/>
        <v>388175.56565254059</v>
      </c>
      <c r="F115" s="4">
        <f>('Owner Occupier'!$H$24-'Owner Occupier'!$D$52)/('Owner Occupier'!$D$56-'Owner Occupier'!$D$52)*B115</f>
        <v>460.58961717755966</v>
      </c>
      <c r="G115" s="4">
        <f t="shared" si="5"/>
        <v>42672.711302317242</v>
      </c>
    </row>
    <row r="116" spans="1:7" x14ac:dyDescent="0.25">
      <c r="A116">
        <v>113</v>
      </c>
      <c r="B116" s="4">
        <f>-PPMT('Owner Occupier'!$D$41/12,'FHA Amotization'!$A116,360,'Owner Occupier'!$D$40,0,0)</f>
        <v>979.7851607772692</v>
      </c>
      <c r="C116" s="4">
        <f>-IPMT('Owner Occupier'!$D$41/12,'FHA Amotization'!$A116,360,'Owner Occupier'!$D$40,0,0)</f>
        <v>1374.7884616860815</v>
      </c>
      <c r="D116" s="4">
        <f t="shared" si="3"/>
        <v>2354.5736224633506</v>
      </c>
      <c r="E116" s="3">
        <f t="shared" si="4"/>
        <v>387195.78049176332</v>
      </c>
      <c r="F116" s="4">
        <f>('Owner Occupier'!$H$24-'Owner Occupier'!$D$52)/('Owner Occupier'!$D$56-'Owner Occupier'!$D$52)*B116</f>
        <v>462.22087207173018</v>
      </c>
      <c r="G116" s="4">
        <f t="shared" si="5"/>
        <v>43134.932174388974</v>
      </c>
    </row>
    <row r="117" spans="1:7" x14ac:dyDescent="0.25">
      <c r="A117">
        <v>114</v>
      </c>
      <c r="B117" s="4">
        <f>-PPMT('Owner Occupier'!$D$41/12,'FHA Amotization'!$A117,360,'Owner Occupier'!$D$40,0,0)</f>
        <v>983.25523322168885</v>
      </c>
      <c r="C117" s="4">
        <f>-IPMT('Owner Occupier'!$D$41/12,'FHA Amotization'!$A117,360,'Owner Occupier'!$D$40,0,0)</f>
        <v>1371.3183892416623</v>
      </c>
      <c r="D117" s="4">
        <f t="shared" si="3"/>
        <v>2354.5736224633511</v>
      </c>
      <c r="E117" s="3">
        <f t="shared" si="4"/>
        <v>386212.52525854163</v>
      </c>
      <c r="F117" s="4">
        <f>('Owner Occupier'!$H$24-'Owner Occupier'!$D$52)/('Owner Occupier'!$D$56-'Owner Occupier'!$D$52)*B117</f>
        <v>463.85790432698434</v>
      </c>
      <c r="G117" s="4">
        <f t="shared" si="5"/>
        <v>43598.79007871596</v>
      </c>
    </row>
    <row r="118" spans="1:7" x14ac:dyDescent="0.25">
      <c r="A118">
        <v>115</v>
      </c>
      <c r="B118" s="4">
        <f>-PPMT('Owner Occupier'!$D$41/12,'FHA Amotization'!$A118,360,'Owner Occupier'!$D$40,0,0)</f>
        <v>986.73759550601551</v>
      </c>
      <c r="C118" s="4">
        <f>-IPMT('Owner Occupier'!$D$41/12,'FHA Amotization'!$A118,360,'Owner Occupier'!$D$40,0,0)</f>
        <v>1367.8360269573357</v>
      </c>
      <c r="D118" s="4">
        <f t="shared" si="3"/>
        <v>2354.5736224633511</v>
      </c>
      <c r="E118" s="3">
        <f t="shared" si="4"/>
        <v>385225.78766303562</v>
      </c>
      <c r="F118" s="4">
        <f>('Owner Occupier'!$H$24-'Owner Occupier'!$D$52)/('Owner Occupier'!$D$56-'Owner Occupier'!$D$52)*B118</f>
        <v>465.50073440480901</v>
      </c>
      <c r="G118" s="4">
        <f t="shared" si="5"/>
        <v>44064.290813120766</v>
      </c>
    </row>
    <row r="119" spans="1:7" x14ac:dyDescent="0.25">
      <c r="A119">
        <v>116</v>
      </c>
      <c r="B119" s="4">
        <f>-PPMT('Owner Occupier'!$D$41/12,'FHA Amotization'!$A119,360,'Owner Occupier'!$D$40,0,0)</f>
        <v>990.23229115676588</v>
      </c>
      <c r="C119" s="4">
        <f>-IPMT('Owner Occupier'!$D$41/12,'FHA Amotization'!$A119,360,'Owner Occupier'!$D$40,0,0)</f>
        <v>1364.3413313065853</v>
      </c>
      <c r="D119" s="4">
        <f t="shared" si="3"/>
        <v>2354.5736224633511</v>
      </c>
      <c r="E119" s="3">
        <f t="shared" si="4"/>
        <v>384235.55537187884</v>
      </c>
      <c r="F119" s="4">
        <f>('Owner Occupier'!$H$24-'Owner Occupier'!$D$52)/('Owner Occupier'!$D$56-'Owner Occupier'!$D$52)*B119</f>
        <v>467.14938283915933</v>
      </c>
      <c r="G119" s="4">
        <f t="shared" si="5"/>
        <v>44531.440195959927</v>
      </c>
    </row>
    <row r="120" spans="1:7" x14ac:dyDescent="0.25">
      <c r="A120">
        <v>117</v>
      </c>
      <c r="B120" s="4">
        <f>-PPMT('Owner Occupier'!$D$41/12,'FHA Amotization'!$A120,360,'Owner Occupier'!$D$40,0,0)</f>
        <v>993.73936385461286</v>
      </c>
      <c r="C120" s="4">
        <f>-IPMT('Owner Occupier'!$D$41/12,'FHA Amotization'!$A120,360,'Owner Occupier'!$D$40,0,0)</f>
        <v>1360.8342586087383</v>
      </c>
      <c r="D120" s="4">
        <f t="shared" si="3"/>
        <v>2354.5736224633511</v>
      </c>
      <c r="E120" s="3">
        <f t="shared" si="4"/>
        <v>383241.81600802421</v>
      </c>
      <c r="F120" s="4">
        <f>('Owner Occupier'!$H$24-'Owner Occupier'!$D$52)/('Owner Occupier'!$D$56-'Owner Occupier'!$D$52)*B120</f>
        <v>468.80387023671472</v>
      </c>
      <c r="G120" s="4">
        <f t="shared" si="5"/>
        <v>45000.244066196639</v>
      </c>
    </row>
    <row r="121" spans="1:7" x14ac:dyDescent="0.25">
      <c r="A121">
        <v>118</v>
      </c>
      <c r="B121" s="4">
        <f>-PPMT('Owner Occupier'!$D$41/12,'FHA Amotization'!$A121,360,'Owner Occupier'!$D$40,0,0)</f>
        <v>997.25885743493131</v>
      </c>
      <c r="C121" s="4">
        <f>-IPMT('Owner Occupier'!$D$41/12,'FHA Amotization'!$A121,360,'Owner Occupier'!$D$40,0,0)</f>
        <v>1357.3147650284202</v>
      </c>
      <c r="D121" s="4">
        <f t="shared" si="3"/>
        <v>2354.5736224633515</v>
      </c>
      <c r="E121" s="3">
        <f t="shared" si="4"/>
        <v>382244.5571505893</v>
      </c>
      <c r="F121" s="4">
        <f>('Owner Occupier'!$H$24-'Owner Occupier'!$D$52)/('Owner Occupier'!$D$56-'Owner Occupier'!$D$52)*B121</f>
        <v>470.46421727713641</v>
      </c>
      <c r="G121" s="4">
        <f t="shared" si="5"/>
        <v>45470.708283473774</v>
      </c>
    </row>
    <row r="122" spans="1:7" x14ac:dyDescent="0.25">
      <c r="A122">
        <v>119</v>
      </c>
      <c r="B122" s="4">
        <f>-PPMT('Owner Occupier'!$D$41/12,'FHA Amotization'!$A122,360,'Owner Occupier'!$D$40,0,0)</f>
        <v>1000.7908158883466</v>
      </c>
      <c r="C122" s="4">
        <f>-IPMT('Owner Occupier'!$D$41/12,'FHA Amotization'!$A122,360,'Owner Occupier'!$D$40,0,0)</f>
        <v>1353.7828065750045</v>
      </c>
      <c r="D122" s="4">
        <f t="shared" si="3"/>
        <v>2354.5736224633511</v>
      </c>
      <c r="E122" s="3">
        <f t="shared" si="4"/>
        <v>381243.76633470098</v>
      </c>
      <c r="F122" s="4">
        <f>('Owner Occupier'!$H$24-'Owner Occupier'!$D$52)/('Owner Occupier'!$D$56-'Owner Occupier'!$D$52)*B122</f>
        <v>472.13044471332626</v>
      </c>
      <c r="G122" s="4">
        <f t="shared" si="5"/>
        <v>45942.838728187104</v>
      </c>
    </row>
    <row r="123" spans="1:7" x14ac:dyDescent="0.25">
      <c r="A123">
        <v>120</v>
      </c>
      <c r="B123" s="4">
        <f>-PPMT('Owner Occupier'!$D$41/12,'FHA Amotization'!$A123,360,'Owner Occupier'!$D$40,0,0)</f>
        <v>1004.3352833612845</v>
      </c>
      <c r="C123" s="4">
        <f>-IPMT('Owner Occupier'!$D$41/12,'FHA Amotization'!$A123,360,'Owner Occupier'!$D$40,0,0)</f>
        <v>1350.2383391020662</v>
      </c>
      <c r="D123" s="4">
        <f t="shared" si="3"/>
        <v>2354.5736224633506</v>
      </c>
      <c r="E123" s="3">
        <f t="shared" si="4"/>
        <v>380239.43105133972</v>
      </c>
      <c r="F123" s="4">
        <f>('Owner Occupier'!$H$24-'Owner Occupier'!$D$52)/('Owner Occupier'!$D$56-'Owner Occupier'!$D$52)*B123</f>
        <v>473.80257337168592</v>
      </c>
      <c r="G123" s="4">
        <f t="shared" si="5"/>
        <v>46416.64130155879</v>
      </c>
    </row>
    <row r="124" spans="1:7" x14ac:dyDescent="0.25">
      <c r="A124">
        <v>121</v>
      </c>
      <c r="B124" s="4">
        <f>-PPMT('Owner Occupier'!$D$41/12,'FHA Amotization'!$A124,360,'Owner Occupier'!$D$40,0,0)</f>
        <v>1007.8923041565224</v>
      </c>
      <c r="C124" s="4">
        <f>-IPMT('Owner Occupier'!$D$41/12,'FHA Amotization'!$A124,360,'Owner Occupier'!$D$40,0,0)</f>
        <v>1346.6813183068286</v>
      </c>
      <c r="D124" s="4">
        <f t="shared" si="3"/>
        <v>2354.5736224633511</v>
      </c>
      <c r="E124" s="3">
        <f t="shared" si="4"/>
        <v>379231.53874718322</v>
      </c>
      <c r="F124" s="4">
        <f>('Owner Occupier'!$H$24-'Owner Occupier'!$D$52)/('Owner Occupier'!$D$56-'Owner Occupier'!$D$52)*B124</f>
        <v>475.48062415237735</v>
      </c>
      <c r="G124" s="4">
        <f t="shared" si="5"/>
        <v>46892.121925711166</v>
      </c>
    </row>
    <row r="125" spans="1:7" x14ac:dyDescent="0.25">
      <c r="A125">
        <v>122</v>
      </c>
      <c r="B125" s="4">
        <f>-PPMT('Owner Occupier'!$D$41/12,'FHA Amotization'!$A125,360,'Owner Occupier'!$D$40,0,0)</f>
        <v>1011.4619227337436</v>
      </c>
      <c r="C125" s="4">
        <f>-IPMT('Owner Occupier'!$D$41/12,'FHA Amotization'!$A125,360,'Owner Occupier'!$D$40,0,0)</f>
        <v>1343.1116997296078</v>
      </c>
      <c r="D125" s="4">
        <f t="shared" si="3"/>
        <v>2354.5736224633515</v>
      </c>
      <c r="E125" s="3">
        <f t="shared" si="4"/>
        <v>378220.07682444947</v>
      </c>
      <c r="F125" s="4">
        <f>('Owner Occupier'!$H$24-'Owner Occupier'!$D$52)/('Owner Occupier'!$D$56-'Owner Occupier'!$D$52)*B125</f>
        <v>477.16461802958372</v>
      </c>
      <c r="G125" s="4">
        <f t="shared" si="5"/>
        <v>47369.286543740753</v>
      </c>
    </row>
    <row r="126" spans="1:7" x14ac:dyDescent="0.25">
      <c r="A126">
        <v>123</v>
      </c>
      <c r="B126" s="4">
        <f>-PPMT('Owner Occupier'!$D$41/12,'FHA Amotization'!$A126,360,'Owner Occupier'!$D$40,0,0)</f>
        <v>1015.0441837100923</v>
      </c>
      <c r="C126" s="4">
        <f>-IPMT('Owner Occupier'!$D$41/12,'FHA Amotization'!$A126,360,'Owner Occupier'!$D$40,0,0)</f>
        <v>1339.5294387532588</v>
      </c>
      <c r="D126" s="4">
        <f t="shared" si="3"/>
        <v>2354.5736224633511</v>
      </c>
      <c r="E126" s="3">
        <f t="shared" si="4"/>
        <v>377205.0326407394</v>
      </c>
      <c r="F126" s="4">
        <f>('Owner Occupier'!$H$24-'Owner Occupier'!$D$52)/('Owner Occupier'!$D$56-'Owner Occupier'!$D$52)*B126</f>
        <v>478.85457605177186</v>
      </c>
      <c r="G126" s="4">
        <f t="shared" si="5"/>
        <v>47848.141119792526</v>
      </c>
    </row>
    <row r="127" spans="1:7" x14ac:dyDescent="0.25">
      <c r="A127">
        <v>124</v>
      </c>
      <c r="B127" s="4">
        <f>-PPMT('Owner Occupier'!$D$41/12,'FHA Amotization'!$A127,360,'Owner Occupier'!$D$40,0,0)</f>
        <v>1018.6391318607322</v>
      </c>
      <c r="C127" s="4">
        <f>-IPMT('Owner Occupier'!$D$41/12,'FHA Amotization'!$A127,360,'Owner Occupier'!$D$40,0,0)</f>
        <v>1335.934490602619</v>
      </c>
      <c r="D127" s="4">
        <f t="shared" si="3"/>
        <v>2354.5736224633511</v>
      </c>
      <c r="E127" s="3">
        <f t="shared" si="4"/>
        <v>376186.39350887865</v>
      </c>
      <c r="F127" s="4">
        <f>('Owner Occupier'!$H$24-'Owner Occupier'!$D$52)/('Owner Occupier'!$D$56-'Owner Occupier'!$D$52)*B127</f>
        <v>480.55051934195524</v>
      </c>
      <c r="G127" s="4">
        <f t="shared" si="5"/>
        <v>48328.691639134478</v>
      </c>
    </row>
    <row r="128" spans="1:7" x14ac:dyDescent="0.25">
      <c r="A128">
        <v>125</v>
      </c>
      <c r="B128" s="4">
        <f>-PPMT('Owner Occupier'!$D$41/12,'FHA Amotization'!$A128,360,'Owner Occupier'!$D$40,0,0)</f>
        <v>1022.2468121194056</v>
      </c>
      <c r="C128" s="4">
        <f>-IPMT('Owner Occupier'!$D$41/12,'FHA Amotization'!$A128,360,'Owner Occupier'!$D$40,0,0)</f>
        <v>1332.3268103439455</v>
      </c>
      <c r="D128" s="4">
        <f t="shared" si="3"/>
        <v>2354.5736224633511</v>
      </c>
      <c r="E128" s="3">
        <f t="shared" si="4"/>
        <v>375164.14669675927</v>
      </c>
      <c r="F128" s="4">
        <f>('Owner Occupier'!$H$24-'Owner Occupier'!$D$52)/('Owner Occupier'!$D$56-'Owner Occupier'!$D$52)*B128</f>
        <v>482.252469097958</v>
      </c>
      <c r="G128" s="4">
        <f t="shared" si="5"/>
        <v>48810.944108232434</v>
      </c>
    </row>
    <row r="129" spans="1:7" x14ac:dyDescent="0.25">
      <c r="A129">
        <v>126</v>
      </c>
      <c r="B129" s="4">
        <f>-PPMT('Owner Occupier'!$D$41/12,'FHA Amotization'!$A129,360,'Owner Occupier'!$D$40,0,0)</f>
        <v>1025.8672695789951</v>
      </c>
      <c r="C129" s="4">
        <f>-IPMT('Owner Occupier'!$D$41/12,'FHA Amotization'!$A129,360,'Owner Occupier'!$D$40,0,0)</f>
        <v>1328.706352884356</v>
      </c>
      <c r="D129" s="4">
        <f t="shared" si="3"/>
        <v>2354.5736224633511</v>
      </c>
      <c r="E129" s="3">
        <f t="shared" si="4"/>
        <v>374138.2794271803</v>
      </c>
      <c r="F129" s="4">
        <f>('Owner Occupier'!$H$24-'Owner Occupier'!$D$52)/('Owner Occupier'!$D$56-'Owner Occupier'!$D$52)*B129</f>
        <v>483.96044659267989</v>
      </c>
      <c r="G129" s="4">
        <f t="shared" si="5"/>
        <v>49294.904554825116</v>
      </c>
    </row>
    <row r="130" spans="1:7" x14ac:dyDescent="0.25">
      <c r="A130">
        <v>127</v>
      </c>
      <c r="B130" s="4">
        <f>-PPMT('Owner Occupier'!$D$41/12,'FHA Amotization'!$A130,360,'Owner Occupier'!$D$40,0,0)</f>
        <v>1029.5005494920874</v>
      </c>
      <c r="C130" s="4">
        <f>-IPMT('Owner Occupier'!$D$41/12,'FHA Amotization'!$A130,360,'Owner Occupier'!$D$40,0,0)</f>
        <v>1325.0730729712636</v>
      </c>
      <c r="D130" s="4">
        <f t="shared" si="3"/>
        <v>2354.5736224633511</v>
      </c>
      <c r="E130" s="3">
        <f t="shared" si="4"/>
        <v>373108.77887768822</v>
      </c>
      <c r="F130" s="4">
        <f>('Owner Occupier'!$H$24-'Owner Occupier'!$D$52)/('Owner Occupier'!$D$56-'Owner Occupier'!$D$52)*B130</f>
        <v>485.67447317436233</v>
      </c>
      <c r="G130" s="4">
        <f t="shared" si="5"/>
        <v>49780.579027999476</v>
      </c>
    </row>
    <row r="131" spans="1:7" x14ac:dyDescent="0.25">
      <c r="A131">
        <v>128</v>
      </c>
      <c r="B131" s="4">
        <f>-PPMT('Owner Occupier'!$D$41/12,'FHA Amotization'!$A131,360,'Owner Occupier'!$D$40,0,0)</f>
        <v>1033.1466972715386</v>
      </c>
      <c r="C131" s="4">
        <f>-IPMT('Owner Occupier'!$D$41/12,'FHA Amotization'!$A131,360,'Owner Occupier'!$D$40,0,0)</f>
        <v>1321.4269251918129</v>
      </c>
      <c r="D131" s="4">
        <f t="shared" si="3"/>
        <v>2354.5736224633515</v>
      </c>
      <c r="E131" s="3">
        <f t="shared" si="4"/>
        <v>372075.63218041667</v>
      </c>
      <c r="F131" s="4">
        <f>('Owner Occupier'!$H$24-'Owner Occupier'!$D$52)/('Owner Occupier'!$D$56-'Owner Occupier'!$D$52)*B131</f>
        <v>487.39457026685488</v>
      </c>
      <c r="G131" s="4">
        <f t="shared" si="5"/>
        <v>50267.973598266333</v>
      </c>
    </row>
    <row r="132" spans="1:7" x14ac:dyDescent="0.25">
      <c r="A132">
        <v>129</v>
      </c>
      <c r="B132" s="4">
        <f>-PPMT('Owner Occupier'!$D$41/12,'FHA Amotization'!$A132,360,'Owner Occupier'!$D$40,0,0)</f>
        <v>1036.8057584910418</v>
      </c>
      <c r="C132" s="4">
        <f>-IPMT('Owner Occupier'!$D$41/12,'FHA Amotization'!$A132,360,'Owner Occupier'!$D$40,0,0)</f>
        <v>1317.7678639723092</v>
      </c>
      <c r="D132" s="4">
        <f t="shared" si="3"/>
        <v>2354.5736224633511</v>
      </c>
      <c r="E132" s="3">
        <f t="shared" si="4"/>
        <v>371038.82642192562</v>
      </c>
      <c r="F132" s="4">
        <f>('Owner Occupier'!$H$24-'Owner Occupier'!$D$52)/('Owner Occupier'!$D$56-'Owner Occupier'!$D$52)*B132</f>
        <v>489.12075936988322</v>
      </c>
      <c r="G132" s="4">
        <f t="shared" si="5"/>
        <v>50757.094357636219</v>
      </c>
    </row>
    <row r="133" spans="1:7" x14ac:dyDescent="0.25">
      <c r="A133">
        <v>130</v>
      </c>
      <c r="B133" s="4">
        <f>-PPMT('Owner Occupier'!$D$41/12,'FHA Amotization'!$A133,360,'Owner Occupier'!$D$40,0,0)</f>
        <v>1040.4777788856975</v>
      </c>
      <c r="C133" s="4">
        <f>-IPMT('Owner Occupier'!$D$41/12,'FHA Amotization'!$A133,360,'Owner Occupier'!$D$40,0,0)</f>
        <v>1314.0958435776536</v>
      </c>
      <c r="D133" s="4">
        <f t="shared" ref="D133:D196" si="6">B133+C133</f>
        <v>2354.5736224633511</v>
      </c>
      <c r="E133" s="3">
        <f t="shared" si="4"/>
        <v>369998.34864303994</v>
      </c>
      <c r="F133" s="4">
        <f>('Owner Occupier'!$H$24-'Owner Occupier'!$D$52)/('Owner Occupier'!$D$56-'Owner Occupier'!$D$52)*B133</f>
        <v>490.85306205931818</v>
      </c>
      <c r="G133" s="4">
        <f t="shared" si="5"/>
        <v>51247.947419695534</v>
      </c>
    </row>
    <row r="134" spans="1:7" x14ac:dyDescent="0.25">
      <c r="A134">
        <v>131</v>
      </c>
      <c r="B134" s="4">
        <f>-PPMT('Owner Occupier'!$D$41/12,'FHA Amotization'!$A134,360,'Owner Occupier'!$D$40,0,0)</f>
        <v>1044.1628043525843</v>
      </c>
      <c r="C134" s="4">
        <f>-IPMT('Owner Occupier'!$D$41/12,'FHA Amotization'!$A134,360,'Owner Occupier'!$D$40,0,0)</f>
        <v>1310.4108181107667</v>
      </c>
      <c r="D134" s="4">
        <f t="shared" si="6"/>
        <v>2354.5736224633511</v>
      </c>
      <c r="E134" s="3">
        <f t="shared" ref="E134:E197" si="7">E133-B134</f>
        <v>368954.18583868735</v>
      </c>
      <c r="F134" s="4">
        <f>('Owner Occupier'!$H$24-'Owner Occupier'!$D$52)/('Owner Occupier'!$D$56-'Owner Occupier'!$D$52)*B134</f>
        <v>492.59149998744493</v>
      </c>
      <c r="G134" s="4">
        <f t="shared" ref="G134:G197" si="8">F134+G133</f>
        <v>51740.538919682978</v>
      </c>
    </row>
    <row r="135" spans="1:7" x14ac:dyDescent="0.25">
      <c r="A135">
        <v>132</v>
      </c>
      <c r="B135" s="4">
        <f>-PPMT('Owner Occupier'!$D$41/12,'FHA Amotization'!$A135,360,'Owner Occupier'!$D$40,0,0)</f>
        <v>1047.8608809513332</v>
      </c>
      <c r="C135" s="4">
        <f>-IPMT('Owner Occupier'!$D$41/12,'FHA Amotization'!$A135,360,'Owner Occupier'!$D$40,0,0)</f>
        <v>1306.7127415120178</v>
      </c>
      <c r="D135" s="4">
        <f t="shared" si="6"/>
        <v>2354.5736224633511</v>
      </c>
      <c r="E135" s="3">
        <f t="shared" si="7"/>
        <v>367906.32495773601</v>
      </c>
      <c r="F135" s="4">
        <f>('Owner Occupier'!$H$24-'Owner Occupier'!$D$52)/('Owner Occupier'!$D$56-'Owner Occupier'!$D$52)*B135</f>
        <v>494.3360948832339</v>
      </c>
      <c r="G135" s="4">
        <f t="shared" si="8"/>
        <v>52234.875014566212</v>
      </c>
    </row>
    <row r="136" spans="1:7" x14ac:dyDescent="0.25">
      <c r="A136">
        <v>133</v>
      </c>
      <c r="B136" s="4">
        <f>-PPMT('Owner Occupier'!$D$41/12,'FHA Amotization'!$A136,360,'Owner Occupier'!$D$40,0,0)</f>
        <v>1051.5720549047026</v>
      </c>
      <c r="C136" s="4">
        <f>-IPMT('Owner Occupier'!$D$41/12,'FHA Amotization'!$A136,360,'Owner Occupier'!$D$40,0,0)</f>
        <v>1303.0015675586487</v>
      </c>
      <c r="D136" s="4">
        <f t="shared" si="6"/>
        <v>2354.5736224633511</v>
      </c>
      <c r="E136" s="3">
        <f t="shared" si="7"/>
        <v>366854.7529028313</v>
      </c>
      <c r="F136" s="4">
        <f>('Owner Occupier'!$H$24-'Owner Occupier'!$D$52)/('Owner Occupier'!$D$56-'Owner Occupier'!$D$52)*B136</f>
        <v>496.08686855261203</v>
      </c>
      <c r="G136" s="4">
        <f t="shared" si="8"/>
        <v>52730.961883118827</v>
      </c>
    </row>
    <row r="137" spans="1:7" x14ac:dyDescent="0.25">
      <c r="A137">
        <v>134</v>
      </c>
      <c r="B137" s="4">
        <f>-PPMT('Owner Occupier'!$D$41/12,'FHA Amotization'!$A137,360,'Owner Occupier'!$D$40,0,0)</f>
        <v>1055.2963725991567</v>
      </c>
      <c r="C137" s="4">
        <f>-IPMT('Owner Occupier'!$D$41/12,'FHA Amotization'!$A137,360,'Owner Occupier'!$D$40,0,0)</f>
        <v>1299.2772498641946</v>
      </c>
      <c r="D137" s="4">
        <f t="shared" si="6"/>
        <v>2354.5736224633511</v>
      </c>
      <c r="E137" s="3">
        <f t="shared" si="7"/>
        <v>365799.45653023216</v>
      </c>
      <c r="F137" s="4">
        <f>('Owner Occupier'!$H$24-'Owner Occupier'!$D$52)/('Owner Occupier'!$D$56-'Owner Occupier'!$D$52)*B137</f>
        <v>497.84384287873587</v>
      </c>
      <c r="G137" s="4">
        <f t="shared" si="8"/>
        <v>53228.805725997561</v>
      </c>
    </row>
    <row r="138" spans="1:7" x14ac:dyDescent="0.25">
      <c r="A138">
        <v>135</v>
      </c>
      <c r="B138" s="4">
        <f>-PPMT('Owner Occupier'!$D$41/12,'FHA Amotization'!$A138,360,'Owner Occupier'!$D$40,0,0)</f>
        <v>1059.0338805854456</v>
      </c>
      <c r="C138" s="4">
        <f>-IPMT('Owner Occupier'!$D$41/12,'FHA Amotization'!$A138,360,'Owner Occupier'!$D$40,0,0)</f>
        <v>1295.5397418779057</v>
      </c>
      <c r="D138" s="4">
        <f t="shared" si="6"/>
        <v>2354.5736224633511</v>
      </c>
      <c r="E138" s="3">
        <f t="shared" si="7"/>
        <v>364740.4226496467</v>
      </c>
      <c r="F138" s="4">
        <f>('Owner Occupier'!$H$24-'Owner Occupier'!$D$52)/('Owner Occupier'!$D$56-'Owner Occupier'!$D$52)*B138</f>
        <v>499.60703982226477</v>
      </c>
      <c r="G138" s="4">
        <f t="shared" si="8"/>
        <v>53728.412765819827</v>
      </c>
    </row>
    <row r="139" spans="1:7" x14ac:dyDescent="0.25">
      <c r="A139">
        <v>136</v>
      </c>
      <c r="B139" s="4">
        <f>-PPMT('Owner Occupier'!$D$41/12,'FHA Amotization'!$A139,360,'Owner Occupier'!$D$40,0,0)</f>
        <v>1062.7846255791853</v>
      </c>
      <c r="C139" s="4">
        <f>-IPMT('Owner Occupier'!$D$41/12,'FHA Amotization'!$A139,360,'Owner Occupier'!$D$40,0,0)</f>
        <v>1291.7889968841655</v>
      </c>
      <c r="D139" s="4">
        <f t="shared" si="6"/>
        <v>2354.5736224633511</v>
      </c>
      <c r="E139" s="3">
        <f t="shared" si="7"/>
        <v>363677.63802406751</v>
      </c>
      <c r="F139" s="4">
        <f>('Owner Occupier'!$H$24-'Owner Occupier'!$D$52)/('Owner Occupier'!$D$56-'Owner Occupier'!$D$52)*B139</f>
        <v>501.37648142163516</v>
      </c>
      <c r="G139" s="4">
        <f t="shared" si="8"/>
        <v>54229.789247241461</v>
      </c>
    </row>
    <row r="140" spans="1:7" x14ac:dyDescent="0.25">
      <c r="A140">
        <v>137</v>
      </c>
      <c r="B140" s="4">
        <f>-PPMT('Owner Occupier'!$D$41/12,'FHA Amotization'!$A140,360,'Owner Occupier'!$D$40,0,0)</f>
        <v>1066.548654461445</v>
      </c>
      <c r="C140" s="4">
        <f>-IPMT('Owner Occupier'!$D$41/12,'FHA Amotization'!$A140,360,'Owner Occupier'!$D$40,0,0)</f>
        <v>1288.024968001906</v>
      </c>
      <c r="D140" s="4">
        <f t="shared" si="6"/>
        <v>2354.5736224633511</v>
      </c>
      <c r="E140" s="3">
        <f t="shared" si="7"/>
        <v>362611.08936960605</v>
      </c>
      <c r="F140" s="4">
        <f>('Owner Occupier'!$H$24-'Owner Occupier'!$D$52)/('Owner Occupier'!$D$56-'Owner Occupier'!$D$52)*B140</f>
        <v>503.15218979333679</v>
      </c>
      <c r="G140" s="4">
        <f t="shared" si="8"/>
        <v>54732.941437034795</v>
      </c>
    </row>
    <row r="141" spans="1:7" x14ac:dyDescent="0.25">
      <c r="A141">
        <v>138</v>
      </c>
      <c r="B141" s="4">
        <f>-PPMT('Owner Occupier'!$D$41/12,'FHA Amotization'!$A141,360,'Owner Occupier'!$D$40,0,0)</f>
        <v>1070.3260142793295</v>
      </c>
      <c r="C141" s="4">
        <f>-IPMT('Owner Occupier'!$D$41/12,'FHA Amotization'!$A141,360,'Owner Occupier'!$D$40,0,0)</f>
        <v>1284.2476081840218</v>
      </c>
      <c r="D141" s="4">
        <f t="shared" si="6"/>
        <v>2354.5736224633511</v>
      </c>
      <c r="E141" s="3">
        <f t="shared" si="7"/>
        <v>361540.76335532672</v>
      </c>
      <c r="F141" s="4">
        <f>('Owner Occupier'!$H$24-'Owner Occupier'!$D$52)/('Owner Occupier'!$D$56-'Owner Occupier'!$D$52)*B141</f>
        <v>504.9341871321883</v>
      </c>
      <c r="G141" s="4">
        <f t="shared" si="8"/>
        <v>55237.875624166983</v>
      </c>
    </row>
    <row r="142" spans="1:7" x14ac:dyDescent="0.25">
      <c r="A142">
        <v>139</v>
      </c>
      <c r="B142" s="4">
        <f>-PPMT('Owner Occupier'!$D$41/12,'FHA Amotization'!$A142,360,'Owner Occupier'!$D$40,0,0)</f>
        <v>1074.1167522465687</v>
      </c>
      <c r="C142" s="4">
        <f>-IPMT('Owner Occupier'!$D$41/12,'FHA Amotization'!$A142,360,'Owner Occupier'!$D$40,0,0)</f>
        <v>1280.4568702167821</v>
      </c>
      <c r="D142" s="4">
        <f t="shared" si="6"/>
        <v>2354.5736224633511</v>
      </c>
      <c r="E142" s="3">
        <f t="shared" si="7"/>
        <v>360466.64660308015</v>
      </c>
      <c r="F142" s="4">
        <f>('Owner Occupier'!$H$24-'Owner Occupier'!$D$52)/('Owner Occupier'!$D$56-'Owner Occupier'!$D$52)*B142</f>
        <v>506.72249571161473</v>
      </c>
      <c r="G142" s="4">
        <f t="shared" si="8"/>
        <v>55744.598119878596</v>
      </c>
    </row>
    <row r="143" spans="1:7" x14ac:dyDescent="0.25">
      <c r="A143">
        <v>140</v>
      </c>
      <c r="B143" s="4">
        <f>-PPMT('Owner Occupier'!$D$41/12,'FHA Amotization'!$A143,360,'Owner Occupier'!$D$40,0,0)</f>
        <v>1077.9209157441087</v>
      </c>
      <c r="C143" s="4">
        <f>-IPMT('Owner Occupier'!$D$41/12,'FHA Amotization'!$A143,360,'Owner Occupier'!$D$40,0,0)</f>
        <v>1276.6527067192426</v>
      </c>
      <c r="D143" s="4">
        <f t="shared" si="6"/>
        <v>2354.5736224633511</v>
      </c>
      <c r="E143" s="3">
        <f t="shared" si="7"/>
        <v>359388.72568733606</v>
      </c>
      <c r="F143" s="4">
        <f>('Owner Occupier'!$H$24-'Owner Occupier'!$D$52)/('Owner Occupier'!$D$56-'Owner Occupier'!$D$52)*B143</f>
        <v>508.51713788392675</v>
      </c>
      <c r="G143" s="4">
        <f t="shared" si="8"/>
        <v>56253.115257762525</v>
      </c>
    </row>
    <row r="144" spans="1:7" x14ac:dyDescent="0.25">
      <c r="A144">
        <v>141</v>
      </c>
      <c r="B144" s="4">
        <f>-PPMT('Owner Occupier'!$D$41/12,'FHA Amotization'!$A144,360,'Owner Occupier'!$D$40,0,0)</f>
        <v>1081.7385523207022</v>
      </c>
      <c r="C144" s="4">
        <f>-IPMT('Owner Occupier'!$D$41/12,'FHA Amotization'!$A144,360,'Owner Occupier'!$D$40,0,0)</f>
        <v>1272.8350701426489</v>
      </c>
      <c r="D144" s="4">
        <f t="shared" si="6"/>
        <v>2354.5736224633511</v>
      </c>
      <c r="E144" s="3">
        <f t="shared" si="7"/>
        <v>358306.98713501537</v>
      </c>
      <c r="F144" s="4">
        <f>('Owner Occupier'!$H$24-'Owner Occupier'!$D$52)/('Owner Occupier'!$D$56-'Owner Occupier'!$D$52)*B144</f>
        <v>510.31813608059889</v>
      </c>
      <c r="G144" s="4">
        <f t="shared" si="8"/>
        <v>56763.433393843123</v>
      </c>
    </row>
    <row r="145" spans="1:7" x14ac:dyDescent="0.25">
      <c r="A145">
        <v>142</v>
      </c>
      <c r="B145" s="4">
        <f>-PPMT('Owner Occupier'!$D$41/12,'FHA Amotization'!$A145,360,'Owner Occupier'!$D$40,0,0)</f>
        <v>1085.5697096935048</v>
      </c>
      <c r="C145" s="4">
        <f>-IPMT('Owner Occupier'!$D$41/12,'FHA Amotization'!$A145,360,'Owner Occupier'!$D$40,0,0)</f>
        <v>1269.0039127698465</v>
      </c>
      <c r="D145" s="4">
        <f t="shared" si="6"/>
        <v>2354.5736224633511</v>
      </c>
      <c r="E145" s="3">
        <f t="shared" si="7"/>
        <v>357221.41742532188</v>
      </c>
      <c r="F145" s="4">
        <f>('Owner Occupier'!$H$24-'Owner Occupier'!$D$52)/('Owner Occupier'!$D$56-'Owner Occupier'!$D$52)*B145</f>
        <v>512.12551281255105</v>
      </c>
      <c r="G145" s="4">
        <f t="shared" si="8"/>
        <v>57275.558906655671</v>
      </c>
    </row>
    <row r="146" spans="1:7" x14ac:dyDescent="0.25">
      <c r="A146">
        <v>143</v>
      </c>
      <c r="B146" s="4">
        <f>-PPMT('Owner Occupier'!$D$41/12,'FHA Amotization'!$A146,360,'Owner Occupier'!$D$40,0,0)</f>
        <v>1089.4144357486693</v>
      </c>
      <c r="C146" s="4">
        <f>-IPMT('Owner Occupier'!$D$41/12,'FHA Amotization'!$A146,360,'Owner Occupier'!$D$40,0,0)</f>
        <v>1265.1591867146819</v>
      </c>
      <c r="D146" s="4">
        <f t="shared" si="6"/>
        <v>2354.5736224633511</v>
      </c>
      <c r="E146" s="3">
        <f t="shared" si="7"/>
        <v>356132.00298957323</v>
      </c>
      <c r="F146" s="4">
        <f>('Owner Occupier'!$H$24-'Owner Occupier'!$D$52)/('Owner Occupier'!$D$56-'Owner Occupier'!$D$52)*B146</f>
        <v>513.93929067042882</v>
      </c>
      <c r="G146" s="4">
        <f t="shared" si="8"/>
        <v>57789.498197326102</v>
      </c>
    </row>
    <row r="147" spans="1:7" x14ac:dyDescent="0.25">
      <c r="A147">
        <v>144</v>
      </c>
      <c r="B147" s="4">
        <f>-PPMT('Owner Occupier'!$D$41/12,'FHA Amotization'!$A147,360,'Owner Occupier'!$D$40,0,0)</f>
        <v>1093.2727785419459</v>
      </c>
      <c r="C147" s="4">
        <f>-IPMT('Owner Occupier'!$D$41/12,'FHA Amotization'!$A147,360,'Owner Occupier'!$D$40,0,0)</f>
        <v>1261.3008439214052</v>
      </c>
      <c r="D147" s="4">
        <f t="shared" si="6"/>
        <v>2354.5736224633511</v>
      </c>
      <c r="E147" s="3">
        <f t="shared" si="7"/>
        <v>355038.73021103127</v>
      </c>
      <c r="F147" s="4">
        <f>('Owner Occupier'!$H$24-'Owner Occupier'!$D$52)/('Owner Occupier'!$D$56-'Owner Occupier'!$D$52)*B147</f>
        <v>515.75949232488665</v>
      </c>
      <c r="G147" s="4">
        <f t="shared" si="8"/>
        <v>58305.257689650985</v>
      </c>
    </row>
    <row r="148" spans="1:7" x14ac:dyDescent="0.25">
      <c r="A148">
        <v>145</v>
      </c>
      <c r="B148" s="4">
        <f>-PPMT('Owner Occupier'!$D$41/12,'FHA Amotization'!$A148,360,'Owner Occupier'!$D$40,0,0)</f>
        <v>1097.144786299282</v>
      </c>
      <c r="C148" s="4">
        <f>-IPMT('Owner Occupier'!$D$41/12,'FHA Amotization'!$A148,360,'Owner Occupier'!$D$40,0,0)</f>
        <v>1257.4288361640693</v>
      </c>
      <c r="D148" s="4">
        <f t="shared" si="6"/>
        <v>2354.5736224633511</v>
      </c>
      <c r="E148" s="3">
        <f t="shared" si="7"/>
        <v>353941.58542473201</v>
      </c>
      <c r="F148" s="4">
        <f>('Owner Occupier'!$H$24-'Owner Occupier'!$D$52)/('Owner Occupier'!$D$56-'Owner Occupier'!$D$52)*B148</f>
        <v>517.58614052687062</v>
      </c>
      <c r="G148" s="4">
        <f t="shared" si="8"/>
        <v>58822.843830177859</v>
      </c>
    </row>
    <row r="149" spans="1:7" x14ac:dyDescent="0.25">
      <c r="A149">
        <v>146</v>
      </c>
      <c r="B149" s="4">
        <f>-PPMT('Owner Occupier'!$D$41/12,'FHA Amotization'!$A149,360,'Owner Occupier'!$D$40,0,0)</f>
        <v>1101.0305074174253</v>
      </c>
      <c r="C149" s="4">
        <f>-IPMT('Owner Occupier'!$D$41/12,'FHA Amotization'!$A149,360,'Owner Occupier'!$D$40,0,0)</f>
        <v>1253.5431150459262</v>
      </c>
      <c r="D149" s="4">
        <f t="shared" si="6"/>
        <v>2354.5736224633515</v>
      </c>
      <c r="E149" s="3">
        <f t="shared" si="7"/>
        <v>352840.55491731456</v>
      </c>
      <c r="F149" s="4">
        <f>('Owner Occupier'!$H$24-'Owner Occupier'!$D$52)/('Owner Occupier'!$D$56-'Owner Occupier'!$D$52)*B149</f>
        <v>519.41925810790326</v>
      </c>
      <c r="G149" s="4">
        <f t="shared" si="8"/>
        <v>59342.263088285763</v>
      </c>
    </row>
    <row r="150" spans="1:7" x14ac:dyDescent="0.25">
      <c r="A150">
        <v>147</v>
      </c>
      <c r="B150" s="4">
        <f>-PPMT('Owner Occupier'!$D$41/12,'FHA Amotization'!$A150,360,'Owner Occupier'!$D$40,0,0)</f>
        <v>1104.9299904645284</v>
      </c>
      <c r="C150" s="4">
        <f>-IPMT('Owner Occupier'!$D$41/12,'FHA Amotization'!$A150,360,'Owner Occupier'!$D$40,0,0)</f>
        <v>1249.6436319988227</v>
      </c>
      <c r="D150" s="4">
        <f t="shared" si="6"/>
        <v>2354.5736224633511</v>
      </c>
      <c r="E150" s="3">
        <f t="shared" si="7"/>
        <v>351735.62492685003</v>
      </c>
      <c r="F150" s="4">
        <f>('Owner Occupier'!$H$24-'Owner Occupier'!$D$52)/('Owner Occupier'!$D$56-'Owner Occupier'!$D$52)*B150</f>
        <v>521.25886798036868</v>
      </c>
      <c r="G150" s="4">
        <f t="shared" si="8"/>
        <v>59863.52195626613</v>
      </c>
    </row>
    <row r="151" spans="1:7" x14ac:dyDescent="0.25">
      <c r="A151">
        <v>148</v>
      </c>
      <c r="B151" s="4">
        <f>-PPMT('Owner Occupier'!$D$41/12,'FHA Amotization'!$A151,360,'Owner Occupier'!$D$40,0,0)</f>
        <v>1108.8432841807571</v>
      </c>
      <c r="C151" s="4">
        <f>-IPMT('Owner Occupier'!$D$41/12,'FHA Amotization'!$A151,360,'Owner Occupier'!$D$40,0,0)</f>
        <v>1245.7303382825939</v>
      </c>
      <c r="D151" s="4">
        <f t="shared" si="6"/>
        <v>2354.5736224633511</v>
      </c>
      <c r="E151" s="3">
        <f t="shared" si="7"/>
        <v>350626.78164266929</v>
      </c>
      <c r="F151" s="4">
        <f>('Owner Occupier'!$H$24-'Owner Occupier'!$D$52)/('Owner Occupier'!$D$56-'Owner Occupier'!$D$52)*B151</f>
        <v>523.10499313779917</v>
      </c>
      <c r="G151" s="4">
        <f t="shared" si="8"/>
        <v>60386.62694940393</v>
      </c>
    </row>
    <row r="152" spans="1:7" x14ac:dyDescent="0.25">
      <c r="A152">
        <v>149</v>
      </c>
      <c r="B152" s="4">
        <f>-PPMT('Owner Occupier'!$D$41/12,'FHA Amotization'!$A152,360,'Owner Occupier'!$D$40,0,0)</f>
        <v>1112.7704374788973</v>
      </c>
      <c r="C152" s="4">
        <f>-IPMT('Owner Occupier'!$D$41/12,'FHA Amotization'!$A152,360,'Owner Occupier'!$D$40,0,0)</f>
        <v>1241.8031849844538</v>
      </c>
      <c r="D152" s="4">
        <f t="shared" si="6"/>
        <v>2354.5736224633511</v>
      </c>
      <c r="E152" s="3">
        <f t="shared" si="7"/>
        <v>349514.01120519039</v>
      </c>
      <c r="F152" s="4">
        <f>('Owner Occupier'!$H$24-'Owner Occupier'!$D$52)/('Owner Occupier'!$D$56-'Owner Occupier'!$D$52)*B152</f>
        <v>524.95765665516228</v>
      </c>
      <c r="G152" s="4">
        <f t="shared" si="8"/>
        <v>60911.584606059092</v>
      </c>
    </row>
    <row r="153" spans="1:7" x14ac:dyDescent="0.25">
      <c r="A153">
        <v>150</v>
      </c>
      <c r="B153" s="4">
        <f>-PPMT('Owner Occupier'!$D$41/12,'FHA Amotization'!$A153,360,'Owner Occupier'!$D$40,0,0)</f>
        <v>1116.7114994449685</v>
      </c>
      <c r="C153" s="4">
        <f>-IPMT('Owner Occupier'!$D$41/12,'FHA Amotization'!$A153,360,'Owner Occupier'!$D$40,0,0)</f>
        <v>1237.8621230183826</v>
      </c>
      <c r="D153" s="4">
        <f t="shared" si="6"/>
        <v>2354.5736224633511</v>
      </c>
      <c r="E153" s="3">
        <f t="shared" si="7"/>
        <v>348397.29970574542</v>
      </c>
      <c r="F153" s="4">
        <f>('Owner Occupier'!$H$24-'Owner Occupier'!$D$52)/('Owner Occupier'!$D$56-'Owner Occupier'!$D$52)*B153</f>
        <v>526.81688168914934</v>
      </c>
      <c r="G153" s="4">
        <f t="shared" si="8"/>
        <v>61438.40148774824</v>
      </c>
    </row>
    <row r="154" spans="1:7" x14ac:dyDescent="0.25">
      <c r="A154">
        <v>151</v>
      </c>
      <c r="B154" s="4">
        <f>-PPMT('Owner Occupier'!$D$41/12,'FHA Amotization'!$A154,360,'Owner Occupier'!$D$40,0,0)</f>
        <v>1120.666519338836</v>
      </c>
      <c r="C154" s="4">
        <f>-IPMT('Owner Occupier'!$D$41/12,'FHA Amotization'!$A154,360,'Owner Occupier'!$D$40,0,0)</f>
        <v>1233.9071031245151</v>
      </c>
      <c r="D154" s="4">
        <f t="shared" si="6"/>
        <v>2354.5736224633511</v>
      </c>
      <c r="E154" s="3">
        <f t="shared" si="7"/>
        <v>347276.63318640657</v>
      </c>
      <c r="F154" s="4">
        <f>('Owner Occupier'!$H$24-'Owner Occupier'!$D$52)/('Owner Occupier'!$D$56-'Owner Occupier'!$D$52)*B154</f>
        <v>528.68269147846502</v>
      </c>
      <c r="G154" s="4">
        <f t="shared" si="8"/>
        <v>61967.084179226702</v>
      </c>
    </row>
    <row r="155" spans="1:7" x14ac:dyDescent="0.25">
      <c r="A155">
        <v>152</v>
      </c>
      <c r="B155" s="4">
        <f>-PPMT('Owner Occupier'!$D$41/12,'FHA Amotization'!$A155,360,'Owner Occupier'!$D$40,0,0)</f>
        <v>1124.6355465948277</v>
      </c>
      <c r="C155" s="4">
        <f>-IPMT('Owner Occupier'!$D$41/12,'FHA Amotization'!$A155,360,'Owner Occupier'!$D$40,0,0)</f>
        <v>1229.9380758685236</v>
      </c>
      <c r="D155" s="4">
        <f t="shared" si="6"/>
        <v>2354.5736224633511</v>
      </c>
      <c r="E155" s="3">
        <f t="shared" si="7"/>
        <v>346151.99763981177</v>
      </c>
      <c r="F155" s="4">
        <f>('Owner Occupier'!$H$24-'Owner Occupier'!$D$52)/('Owner Occupier'!$D$56-'Owner Occupier'!$D$52)*B155</f>
        <v>530.55510934411791</v>
      </c>
      <c r="G155" s="4">
        <f t="shared" si="8"/>
        <v>62497.639288570819</v>
      </c>
    </row>
    <row r="156" spans="1:7" x14ac:dyDescent="0.25">
      <c r="A156">
        <v>153</v>
      </c>
      <c r="B156" s="4">
        <f>-PPMT('Owner Occupier'!$D$41/12,'FHA Amotization'!$A156,360,'Owner Occupier'!$D$40,0,0)</f>
        <v>1128.618630822351</v>
      </c>
      <c r="C156" s="4">
        <f>-IPMT('Owner Occupier'!$D$41/12,'FHA Amotization'!$A156,360,'Owner Occupier'!$D$40,0,0)</f>
        <v>1225.9549916410001</v>
      </c>
      <c r="D156" s="4">
        <f t="shared" si="6"/>
        <v>2354.5736224633511</v>
      </c>
      <c r="E156" s="3">
        <f t="shared" si="7"/>
        <v>345023.37900898943</v>
      </c>
      <c r="F156" s="4">
        <f>('Owner Occupier'!$H$24-'Owner Occupier'!$D$52)/('Owner Occupier'!$D$56-'Owner Occupier'!$D$52)*B156</f>
        <v>532.43415868971169</v>
      </c>
      <c r="G156" s="4">
        <f t="shared" si="8"/>
        <v>63030.073447260533</v>
      </c>
    </row>
    <row r="157" spans="1:7" x14ac:dyDescent="0.25">
      <c r="A157">
        <v>154</v>
      </c>
      <c r="B157" s="4">
        <f>-PPMT('Owner Occupier'!$D$41/12,'FHA Amotization'!$A157,360,'Owner Occupier'!$D$40,0,0)</f>
        <v>1132.6158218065134</v>
      </c>
      <c r="C157" s="4">
        <f>-IPMT('Owner Occupier'!$D$41/12,'FHA Amotization'!$A157,360,'Owner Occupier'!$D$40,0,0)</f>
        <v>1221.9578006568377</v>
      </c>
      <c r="D157" s="4">
        <f t="shared" si="6"/>
        <v>2354.5736224633511</v>
      </c>
      <c r="E157" s="3">
        <f t="shared" si="7"/>
        <v>343890.76318718289</v>
      </c>
      <c r="F157" s="4">
        <f>('Owner Occupier'!$H$24-'Owner Occupier'!$D$52)/('Owner Occupier'!$D$56-'Owner Occupier'!$D$52)*B157</f>
        <v>534.31986300173764</v>
      </c>
      <c r="G157" s="4">
        <f t="shared" si="8"/>
        <v>63564.393310262269</v>
      </c>
    </row>
    <row r="158" spans="1:7" x14ac:dyDescent="0.25">
      <c r="A158">
        <v>155</v>
      </c>
      <c r="B158" s="4">
        <f>-PPMT('Owner Occupier'!$D$41/12,'FHA Amotization'!$A158,360,'Owner Occupier'!$D$40,0,0)</f>
        <v>1136.6271695087451</v>
      </c>
      <c r="C158" s="4">
        <f>-IPMT('Owner Occupier'!$D$41/12,'FHA Amotization'!$A158,360,'Owner Occupier'!$D$40,0,0)</f>
        <v>1217.9464529546062</v>
      </c>
      <c r="D158" s="4">
        <f t="shared" si="6"/>
        <v>2354.5736224633511</v>
      </c>
      <c r="E158" s="3">
        <f t="shared" si="7"/>
        <v>342754.13601767417</v>
      </c>
      <c r="F158" s="4">
        <f>('Owner Occupier'!$H$24-'Owner Occupier'!$D$52)/('Owner Occupier'!$D$56-'Owner Occupier'!$D$52)*B158</f>
        <v>536.21224584986896</v>
      </c>
      <c r="G158" s="4">
        <f t="shared" si="8"/>
        <v>64100.605556112139</v>
      </c>
    </row>
    <row r="159" spans="1:7" x14ac:dyDescent="0.25">
      <c r="A159">
        <v>156</v>
      </c>
      <c r="B159" s="4">
        <f>-PPMT('Owner Occupier'!$D$41/12,'FHA Amotization'!$A159,360,'Owner Occupier'!$D$40,0,0)</f>
        <v>1140.6527240674218</v>
      </c>
      <c r="C159" s="4">
        <f>-IPMT('Owner Occupier'!$D$41/12,'FHA Amotization'!$A159,360,'Owner Occupier'!$D$40,0,0)</f>
        <v>1213.920898395929</v>
      </c>
      <c r="D159" s="4">
        <f t="shared" si="6"/>
        <v>2354.5736224633511</v>
      </c>
      <c r="E159" s="3">
        <f t="shared" si="7"/>
        <v>341613.48329360673</v>
      </c>
      <c r="F159" s="4">
        <f>('Owner Occupier'!$H$24-'Owner Occupier'!$D$52)/('Owner Occupier'!$D$56-'Owner Occupier'!$D$52)*B159</f>
        <v>538.11133088725387</v>
      </c>
      <c r="G159" s="4">
        <f t="shared" si="8"/>
        <v>64638.716886999391</v>
      </c>
    </row>
    <row r="160" spans="1:7" x14ac:dyDescent="0.25">
      <c r="A160">
        <v>157</v>
      </c>
      <c r="B160" s="4">
        <f>-PPMT('Owner Occupier'!$D$41/12,'FHA Amotization'!$A160,360,'Owner Occupier'!$D$40,0,0)</f>
        <v>1144.692535798494</v>
      </c>
      <c r="C160" s="4">
        <f>-IPMT('Owner Occupier'!$D$41/12,'FHA Amotization'!$A160,360,'Owner Occupier'!$D$40,0,0)</f>
        <v>1209.8810866648573</v>
      </c>
      <c r="D160" s="4">
        <f t="shared" si="6"/>
        <v>2354.5736224633511</v>
      </c>
      <c r="E160" s="3">
        <f t="shared" si="7"/>
        <v>340468.79075780825</v>
      </c>
      <c r="F160" s="4">
        <f>('Owner Occupier'!$H$24-'Owner Occupier'!$D$52)/('Owner Occupier'!$D$56-'Owner Occupier'!$D$52)*B160</f>
        <v>540.01714185081289</v>
      </c>
      <c r="G160" s="4">
        <f t="shared" si="8"/>
        <v>65178.734028850202</v>
      </c>
    </row>
    <row r="161" spans="1:7" x14ac:dyDescent="0.25">
      <c r="A161">
        <v>158</v>
      </c>
      <c r="B161" s="4">
        <f>-PPMT('Owner Occupier'!$D$41/12,'FHA Amotization'!$A161,360,'Owner Occupier'!$D$40,0,0)</f>
        <v>1148.7466551961136</v>
      </c>
      <c r="C161" s="4">
        <f>-IPMT('Owner Occupier'!$D$41/12,'FHA Amotization'!$A161,360,'Owner Occupier'!$D$40,0,0)</f>
        <v>1205.8269672672375</v>
      </c>
      <c r="D161" s="4">
        <f t="shared" si="6"/>
        <v>2354.5736224633511</v>
      </c>
      <c r="E161" s="3">
        <f t="shared" si="7"/>
        <v>339320.04410261213</v>
      </c>
      <c r="F161" s="4">
        <f>('Owner Occupier'!$H$24-'Owner Occupier'!$D$52)/('Owner Occupier'!$D$56-'Owner Occupier'!$D$52)*B161</f>
        <v>541.92970256153455</v>
      </c>
      <c r="G161" s="4">
        <f t="shared" si="8"/>
        <v>65720.66373141174</v>
      </c>
    </row>
    <row r="162" spans="1:7" x14ac:dyDescent="0.25">
      <c r="A162">
        <v>159</v>
      </c>
      <c r="B162" s="4">
        <f>-PPMT('Owner Occupier'!$D$41/12,'FHA Amotization'!$A162,360,'Owner Occupier'!$D$40,0,0)</f>
        <v>1152.8151329332663</v>
      </c>
      <c r="C162" s="4">
        <f>-IPMT('Owner Occupier'!$D$41/12,'FHA Amotization'!$A162,360,'Owner Occupier'!$D$40,0,0)</f>
        <v>1201.7584895300847</v>
      </c>
      <c r="D162" s="4">
        <f t="shared" si="6"/>
        <v>2354.5736224633511</v>
      </c>
      <c r="E162" s="3">
        <f t="shared" si="7"/>
        <v>338167.22896967886</v>
      </c>
      <c r="F162" s="4">
        <f>('Owner Occupier'!$H$24-'Owner Occupier'!$D$52)/('Owner Occupier'!$D$56-'Owner Occupier'!$D$52)*B162</f>
        <v>543.84903692477326</v>
      </c>
      <c r="G162" s="4">
        <f t="shared" si="8"/>
        <v>66264.512768336514</v>
      </c>
    </row>
    <row r="163" spans="1:7" x14ac:dyDescent="0.25">
      <c r="A163">
        <v>160</v>
      </c>
      <c r="B163" s="4">
        <f>-PPMT('Owner Occupier'!$D$41/12,'FHA Amotization'!$A163,360,'Owner Occupier'!$D$40,0,0)</f>
        <v>1156.8980198624054</v>
      </c>
      <c r="C163" s="4">
        <f>-IPMT('Owner Occupier'!$D$41/12,'FHA Amotization'!$A163,360,'Owner Occupier'!$D$40,0,0)</f>
        <v>1197.6756026009459</v>
      </c>
      <c r="D163" s="4">
        <f t="shared" si="6"/>
        <v>2354.5736224633511</v>
      </c>
      <c r="E163" s="3">
        <f t="shared" si="7"/>
        <v>337010.33094981645</v>
      </c>
      <c r="F163" s="4">
        <f>('Owner Occupier'!$H$24-'Owner Occupier'!$D$52)/('Owner Occupier'!$D$56-'Owner Occupier'!$D$52)*B163</f>
        <v>545.7751689305486</v>
      </c>
      <c r="G163" s="4">
        <f t="shared" si="8"/>
        <v>66810.287937267058</v>
      </c>
    </row>
    <row r="164" spans="1:7" x14ac:dyDescent="0.25">
      <c r="A164">
        <v>161</v>
      </c>
      <c r="B164" s="4">
        <f>-PPMT('Owner Occupier'!$D$41/12,'FHA Amotization'!$A164,360,'Owner Occupier'!$D$40,0,0)</f>
        <v>1160.9953670160844</v>
      </c>
      <c r="C164" s="4">
        <f>-IPMT('Owner Occupier'!$D$41/12,'FHA Amotization'!$A164,360,'Owner Occupier'!$D$40,0,0)</f>
        <v>1193.5782554472667</v>
      </c>
      <c r="D164" s="4">
        <f t="shared" si="6"/>
        <v>2354.5736224633511</v>
      </c>
      <c r="E164" s="3">
        <f t="shared" si="7"/>
        <v>335849.33558280038</v>
      </c>
      <c r="F164" s="4">
        <f>('Owner Occupier'!$H$24-'Owner Occupier'!$D$52)/('Owner Occupier'!$D$56-'Owner Occupier'!$D$52)*B164</f>
        <v>547.70812265384416</v>
      </c>
      <c r="G164" s="4">
        <f t="shared" si="8"/>
        <v>67357.996059920901</v>
      </c>
    </row>
    <row r="165" spans="1:7" x14ac:dyDescent="0.25">
      <c r="A165">
        <v>162</v>
      </c>
      <c r="B165" s="4">
        <f>-PPMT('Owner Occupier'!$D$41/12,'FHA Amotization'!$A165,360,'Owner Occupier'!$D$40,0,0)</f>
        <v>1165.1072256076</v>
      </c>
      <c r="C165" s="4">
        <f>-IPMT('Owner Occupier'!$D$41/12,'FHA Amotization'!$A165,360,'Owner Occupier'!$D$40,0,0)</f>
        <v>1189.4663968557513</v>
      </c>
      <c r="D165" s="4">
        <f t="shared" si="6"/>
        <v>2354.5736224633511</v>
      </c>
      <c r="E165" s="3">
        <f t="shared" si="7"/>
        <v>334684.22835719277</v>
      </c>
      <c r="F165" s="4">
        <f>('Owner Occupier'!$H$24-'Owner Occupier'!$D$52)/('Owner Occupier'!$D$56-'Owner Occupier'!$D$52)*B165</f>
        <v>549.64792225490999</v>
      </c>
      <c r="G165" s="4">
        <f t="shared" si="8"/>
        <v>67907.64398217581</v>
      </c>
    </row>
    <row r="166" spans="1:7" x14ac:dyDescent="0.25">
      <c r="A166">
        <v>163</v>
      </c>
      <c r="B166" s="4">
        <f>-PPMT('Owner Occupier'!$D$41/12,'FHA Amotization'!$A166,360,'Owner Occupier'!$D$40,0,0)</f>
        <v>1169.2336470316266</v>
      </c>
      <c r="C166" s="4">
        <f>-IPMT('Owner Occupier'!$D$41/12,'FHA Amotization'!$A166,360,'Owner Occupier'!$D$40,0,0)</f>
        <v>1185.3399754317243</v>
      </c>
      <c r="D166" s="4">
        <f t="shared" si="6"/>
        <v>2354.5736224633511</v>
      </c>
      <c r="E166" s="3">
        <f t="shared" si="7"/>
        <v>333514.99471016112</v>
      </c>
      <c r="F166" s="4">
        <f>('Owner Occupier'!$H$24-'Owner Occupier'!$D$52)/('Owner Occupier'!$D$56-'Owner Occupier'!$D$52)*B166</f>
        <v>551.59459197956267</v>
      </c>
      <c r="G166" s="4">
        <f t="shared" si="8"/>
        <v>68459.238574155373</v>
      </c>
    </row>
    <row r="167" spans="1:7" x14ac:dyDescent="0.25">
      <c r="A167">
        <v>164</v>
      </c>
      <c r="B167" s="4">
        <f>-PPMT('Owner Occupier'!$D$41/12,'FHA Amotization'!$A167,360,'Owner Occupier'!$D$40,0,0)</f>
        <v>1173.3746828648636</v>
      </c>
      <c r="C167" s="4">
        <f>-IPMT('Owner Occupier'!$D$41/12,'FHA Amotization'!$A167,360,'Owner Occupier'!$D$40,0,0)</f>
        <v>1181.1989395984874</v>
      </c>
      <c r="D167" s="4">
        <f t="shared" si="6"/>
        <v>2354.5736224633511</v>
      </c>
      <c r="E167" s="3">
        <f t="shared" si="7"/>
        <v>332341.62002729625</v>
      </c>
      <c r="F167" s="4">
        <f>('Owner Occupier'!$H$24-'Owner Occupier'!$D$52)/('Owner Occupier'!$D$56-'Owner Occupier'!$D$52)*B167</f>
        <v>553.5481561594903</v>
      </c>
      <c r="G167" s="4">
        <f t="shared" si="8"/>
        <v>69012.786730314867</v>
      </c>
    </row>
    <row r="168" spans="1:7" x14ac:dyDescent="0.25">
      <c r="A168">
        <v>165</v>
      </c>
      <c r="B168" s="4">
        <f>-PPMT('Owner Occupier'!$D$41/12,'FHA Amotization'!$A168,360,'Owner Occupier'!$D$40,0,0)</f>
        <v>1177.5303848666767</v>
      </c>
      <c r="C168" s="4">
        <f>-IPMT('Owner Occupier'!$D$41/12,'FHA Amotization'!$A168,360,'Owner Occupier'!$D$40,0,0)</f>
        <v>1177.0432375966743</v>
      </c>
      <c r="D168" s="4">
        <f t="shared" si="6"/>
        <v>2354.5736224633511</v>
      </c>
      <c r="E168" s="3">
        <f t="shared" si="7"/>
        <v>331164.08964242955</v>
      </c>
      <c r="F168" s="4">
        <f>('Owner Occupier'!$H$24-'Owner Occupier'!$D$52)/('Owner Occupier'!$D$56-'Owner Occupier'!$D$52)*B168</f>
        <v>555.50863921255518</v>
      </c>
      <c r="G168" s="4">
        <f t="shared" si="8"/>
        <v>69568.295369527419</v>
      </c>
    </row>
    <row r="169" spans="1:7" x14ac:dyDescent="0.25">
      <c r="A169">
        <v>166</v>
      </c>
      <c r="B169" s="4">
        <f>-PPMT('Owner Occupier'!$D$41/12,'FHA Amotization'!$A169,360,'Owner Occupier'!$D$40,0,0)</f>
        <v>1181.7008049797464</v>
      </c>
      <c r="C169" s="4">
        <f>-IPMT('Owner Occupier'!$D$41/12,'FHA Amotization'!$A169,360,'Owner Occupier'!$D$40,0,0)</f>
        <v>1172.8728174836049</v>
      </c>
      <c r="D169" s="4">
        <f t="shared" si="6"/>
        <v>2354.5736224633511</v>
      </c>
      <c r="E169" s="3">
        <f t="shared" si="7"/>
        <v>329982.38883744978</v>
      </c>
      <c r="F169" s="4">
        <f>('Owner Occupier'!$H$24-'Owner Occupier'!$D$52)/('Owner Occupier'!$D$56-'Owner Occupier'!$D$52)*B169</f>
        <v>557.47606564309979</v>
      </c>
      <c r="G169" s="4">
        <f t="shared" si="8"/>
        <v>70125.771435170522</v>
      </c>
    </row>
    <row r="170" spans="1:7" x14ac:dyDescent="0.25">
      <c r="A170">
        <v>167</v>
      </c>
      <c r="B170" s="4">
        <f>-PPMT('Owner Occupier'!$D$41/12,'FHA Amotization'!$A170,360,'Owner Occupier'!$D$40,0,0)</f>
        <v>1185.8859953307162</v>
      </c>
      <c r="C170" s="4">
        <f>-IPMT('Owner Occupier'!$D$41/12,'FHA Amotization'!$A170,360,'Owner Occupier'!$D$40,0,0)</f>
        <v>1168.6876271326348</v>
      </c>
      <c r="D170" s="4">
        <f t="shared" si="6"/>
        <v>2354.5736224633511</v>
      </c>
      <c r="E170" s="3">
        <f t="shared" si="7"/>
        <v>328796.50284211908</v>
      </c>
      <c r="F170" s="4">
        <f>('Owner Occupier'!$H$24-'Owner Occupier'!$D$52)/('Owner Occupier'!$D$56-'Owner Occupier'!$D$52)*B170</f>
        <v>559.4504600422523</v>
      </c>
      <c r="G170" s="4">
        <f t="shared" si="8"/>
        <v>70685.221895212773</v>
      </c>
    </row>
    <row r="171" spans="1:7" x14ac:dyDescent="0.25">
      <c r="A171">
        <v>168</v>
      </c>
      <c r="B171" s="4">
        <f>-PPMT('Owner Occupier'!$D$41/12,'FHA Amotization'!$A171,360,'Owner Occupier'!$D$40,0,0)</f>
        <v>1190.0860082308457</v>
      </c>
      <c r="C171" s="4">
        <f>-IPMT('Owner Occupier'!$D$41/12,'FHA Amotization'!$A171,360,'Owner Occupier'!$D$40,0,0)</f>
        <v>1164.4876142325052</v>
      </c>
      <c r="D171" s="4">
        <f t="shared" si="6"/>
        <v>2354.5736224633511</v>
      </c>
      <c r="E171" s="3">
        <f t="shared" si="7"/>
        <v>327606.41683388822</v>
      </c>
      <c r="F171" s="4">
        <f>('Owner Occupier'!$H$24-'Owner Occupier'!$D$52)/('Owner Occupier'!$D$56-'Owner Occupier'!$D$52)*B171</f>
        <v>561.43184708823526</v>
      </c>
      <c r="G171" s="4">
        <f t="shared" si="8"/>
        <v>71246.653742301001</v>
      </c>
    </row>
    <row r="172" spans="1:7" x14ac:dyDescent="0.25">
      <c r="A172">
        <v>169</v>
      </c>
      <c r="B172" s="4">
        <f>-PPMT('Owner Occupier'!$D$41/12,'FHA Amotization'!$A172,360,'Owner Occupier'!$D$40,0,0)</f>
        <v>1194.3008961766636</v>
      </c>
      <c r="C172" s="4">
        <f>-IPMT('Owner Occupier'!$D$41/12,'FHA Amotization'!$A172,360,'Owner Occupier'!$D$40,0,0)</f>
        <v>1160.2727262866877</v>
      </c>
      <c r="D172" s="4">
        <f t="shared" si="6"/>
        <v>2354.5736224633511</v>
      </c>
      <c r="E172" s="3">
        <f t="shared" si="7"/>
        <v>326412.11593771155</v>
      </c>
      <c r="F172" s="4">
        <f>('Owner Occupier'!$H$24-'Owner Occupier'!$D$52)/('Owner Occupier'!$D$56-'Owner Occupier'!$D$52)*B172</f>
        <v>563.42025154667294</v>
      </c>
      <c r="G172" s="4">
        <f t="shared" si="8"/>
        <v>71810.073993847676</v>
      </c>
    </row>
    <row r="173" spans="1:7" x14ac:dyDescent="0.25">
      <c r="A173">
        <v>170</v>
      </c>
      <c r="B173" s="4">
        <f>-PPMT('Owner Occupier'!$D$41/12,'FHA Amotization'!$A173,360,'Owner Occupier'!$D$40,0,0)</f>
        <v>1198.5307118506223</v>
      </c>
      <c r="C173" s="4">
        <f>-IPMT('Owner Occupier'!$D$41/12,'FHA Amotization'!$A173,360,'Owner Occupier'!$D$40,0,0)</f>
        <v>1156.0429106127285</v>
      </c>
      <c r="D173" s="4">
        <f t="shared" si="6"/>
        <v>2354.5736224633511</v>
      </c>
      <c r="E173" s="3">
        <f t="shared" si="7"/>
        <v>325213.58522586094</v>
      </c>
      <c r="F173" s="4">
        <f>('Owner Occupier'!$H$24-'Owner Occupier'!$D$52)/('Owner Occupier'!$D$56-'Owner Occupier'!$D$52)*B173</f>
        <v>565.41569827090052</v>
      </c>
      <c r="G173" s="4">
        <f t="shared" si="8"/>
        <v>72375.489692118572</v>
      </c>
    </row>
    <row r="174" spans="1:7" x14ac:dyDescent="0.25">
      <c r="A174">
        <v>171</v>
      </c>
      <c r="B174" s="4">
        <f>-PPMT('Owner Occupier'!$D$41/12,'FHA Amotization'!$A174,360,'Owner Occupier'!$D$40,0,0)</f>
        <v>1202.7755081217599</v>
      </c>
      <c r="C174" s="4">
        <f>-IPMT('Owner Occupier'!$D$41/12,'FHA Amotization'!$A174,360,'Owner Occupier'!$D$40,0,0)</f>
        <v>1151.7981143415911</v>
      </c>
      <c r="D174" s="4">
        <f t="shared" si="6"/>
        <v>2354.5736224633511</v>
      </c>
      <c r="E174" s="3">
        <f t="shared" si="7"/>
        <v>324010.80971773918</v>
      </c>
      <c r="F174" s="4">
        <f>('Owner Occupier'!$H$24-'Owner Occupier'!$D$52)/('Owner Occupier'!$D$56-'Owner Occupier'!$D$52)*B174</f>
        <v>567.41821220227666</v>
      </c>
      <c r="G174" s="4">
        <f t="shared" si="8"/>
        <v>72942.907904320848</v>
      </c>
    </row>
    <row r="175" spans="1:7" x14ac:dyDescent="0.25">
      <c r="A175">
        <v>172</v>
      </c>
      <c r="B175" s="4">
        <f>-PPMT('Owner Occupier'!$D$41/12,'FHA Amotization'!$A175,360,'Owner Occupier'!$D$40,0,0)</f>
        <v>1207.035338046358</v>
      </c>
      <c r="C175" s="4">
        <f>-IPMT('Owner Occupier'!$D$41/12,'FHA Amotization'!$A175,360,'Owner Occupier'!$D$40,0,0)</f>
        <v>1147.5382844169933</v>
      </c>
      <c r="D175" s="4">
        <f t="shared" si="6"/>
        <v>2354.5736224633511</v>
      </c>
      <c r="E175" s="3">
        <f t="shared" si="7"/>
        <v>322803.7743796928</v>
      </c>
      <c r="F175" s="4">
        <f>('Owner Occupier'!$H$24-'Owner Occupier'!$D$52)/('Owner Occupier'!$D$56-'Owner Occupier'!$D$52)*B175</f>
        <v>569.42781837049313</v>
      </c>
      <c r="G175" s="4">
        <f t="shared" si="8"/>
        <v>73512.335722691336</v>
      </c>
    </row>
    <row r="176" spans="1:7" x14ac:dyDescent="0.25">
      <c r="A176">
        <v>173</v>
      </c>
      <c r="B176" s="4">
        <f>-PPMT('Owner Occupier'!$D$41/12,'FHA Amotization'!$A176,360,'Owner Occupier'!$D$40,0,0)</f>
        <v>1211.3102548686054</v>
      </c>
      <c r="C176" s="4">
        <f>-IPMT('Owner Occupier'!$D$41/12,'FHA Amotization'!$A176,360,'Owner Occupier'!$D$40,0,0)</f>
        <v>1143.2633675947459</v>
      </c>
      <c r="D176" s="4">
        <f t="shared" si="6"/>
        <v>2354.5736224633511</v>
      </c>
      <c r="E176" s="3">
        <f t="shared" si="7"/>
        <v>321592.46412482421</v>
      </c>
      <c r="F176" s="4">
        <f>('Owner Occupier'!$H$24-'Owner Occupier'!$D$52)/('Owner Occupier'!$D$56-'Owner Occupier'!$D$52)*B176</f>
        <v>571.44454189388853</v>
      </c>
      <c r="G176" s="4">
        <f t="shared" si="8"/>
        <v>74083.780264585221</v>
      </c>
    </row>
    <row r="177" spans="1:7" x14ac:dyDescent="0.25">
      <c r="A177">
        <v>174</v>
      </c>
      <c r="B177" s="4">
        <f>-PPMT('Owner Occupier'!$D$41/12,'FHA Amotization'!$A177,360,'Owner Occupier'!$D$40,0,0)</f>
        <v>1215.6003120212652</v>
      </c>
      <c r="C177" s="4">
        <f>-IPMT('Owner Occupier'!$D$41/12,'FHA Amotization'!$A177,360,'Owner Occupier'!$D$40,0,0)</f>
        <v>1138.9733104420861</v>
      </c>
      <c r="D177" s="4">
        <f t="shared" si="6"/>
        <v>2354.5736224633511</v>
      </c>
      <c r="E177" s="3">
        <f t="shared" si="7"/>
        <v>320376.86381280294</v>
      </c>
      <c r="F177" s="4">
        <f>('Owner Occupier'!$H$24-'Owner Occupier'!$D$52)/('Owner Occupier'!$D$56-'Owner Occupier'!$D$52)*B177</f>
        <v>573.46840797976279</v>
      </c>
      <c r="G177" s="4">
        <f t="shared" si="8"/>
        <v>74657.24867256498</v>
      </c>
    </row>
    <row r="178" spans="1:7" x14ac:dyDescent="0.25">
      <c r="A178">
        <v>175</v>
      </c>
      <c r="B178" s="4">
        <f>-PPMT('Owner Occupier'!$D$41/12,'FHA Amotization'!$A178,360,'Owner Occupier'!$D$40,0,0)</f>
        <v>1219.9055631263404</v>
      </c>
      <c r="C178" s="4">
        <f>-IPMT('Owner Occupier'!$D$41/12,'FHA Amotization'!$A178,360,'Owner Occupier'!$D$40,0,0)</f>
        <v>1134.6680593370108</v>
      </c>
      <c r="D178" s="4">
        <f t="shared" si="6"/>
        <v>2354.5736224633511</v>
      </c>
      <c r="E178" s="3">
        <f t="shared" si="7"/>
        <v>319156.95824967662</v>
      </c>
      <c r="F178" s="4">
        <f>('Owner Occupier'!$H$24-'Owner Occupier'!$D$52)/('Owner Occupier'!$D$56-'Owner Occupier'!$D$52)*B178</f>
        <v>575.49944192469115</v>
      </c>
      <c r="G178" s="4">
        <f t="shared" si="8"/>
        <v>75232.748114489674</v>
      </c>
    </row>
    <row r="179" spans="1:7" x14ac:dyDescent="0.25">
      <c r="A179">
        <v>176</v>
      </c>
      <c r="B179" s="4">
        <f>-PPMT('Owner Occupier'!$D$41/12,'FHA Amotization'!$A179,360,'Owner Occupier'!$D$40,0,0)</f>
        <v>1224.2260619957462</v>
      </c>
      <c r="C179" s="4">
        <f>-IPMT('Owner Occupier'!$D$41/12,'FHA Amotization'!$A179,360,'Owner Occupier'!$D$40,0,0)</f>
        <v>1130.3475604676048</v>
      </c>
      <c r="D179" s="4">
        <f t="shared" si="6"/>
        <v>2354.5736224633511</v>
      </c>
      <c r="E179" s="3">
        <f t="shared" si="7"/>
        <v>317932.7321876809</v>
      </c>
      <c r="F179" s="4">
        <f>('Owner Occupier'!$H$24-'Owner Occupier'!$D$52)/('Owner Occupier'!$D$56-'Owner Occupier'!$D$52)*B179</f>
        <v>577.53766911484104</v>
      </c>
      <c r="G179" s="4">
        <f t="shared" si="8"/>
        <v>75810.285783604515</v>
      </c>
    </row>
    <row r="180" spans="1:7" x14ac:dyDescent="0.25">
      <c r="A180">
        <v>177</v>
      </c>
      <c r="B180" s="4">
        <f>-PPMT('Owner Occupier'!$D$41/12,'FHA Amotization'!$A180,360,'Owner Occupier'!$D$40,0,0)</f>
        <v>1228.5618626319811</v>
      </c>
      <c r="C180" s="4">
        <f>-IPMT('Owner Occupier'!$D$41/12,'FHA Amotization'!$A180,360,'Owner Occupier'!$D$40,0,0)</f>
        <v>1126.01175983137</v>
      </c>
      <c r="D180" s="4">
        <f t="shared" si="6"/>
        <v>2354.5736224633511</v>
      </c>
      <c r="E180" s="3">
        <f t="shared" si="7"/>
        <v>316704.17032504891</v>
      </c>
      <c r="F180" s="4">
        <f>('Owner Occupier'!$H$24-'Owner Occupier'!$D$52)/('Owner Occupier'!$D$56-'Owner Occupier'!$D$52)*B180</f>
        <v>579.58311502628942</v>
      </c>
      <c r="G180" s="4">
        <f t="shared" si="8"/>
        <v>76389.868898630812</v>
      </c>
    </row>
    <row r="181" spans="1:7" x14ac:dyDescent="0.25">
      <c r="A181">
        <v>178</v>
      </c>
      <c r="B181" s="4">
        <f>-PPMT('Owner Occupier'!$D$41/12,'FHA Amotization'!$A181,360,'Owner Occupier'!$D$40,0,0)</f>
        <v>1232.9130192288028</v>
      </c>
      <c r="C181" s="4">
        <f>-IPMT('Owner Occupier'!$D$41/12,'FHA Amotization'!$A181,360,'Owner Occupier'!$D$40,0,0)</f>
        <v>1121.6606032345483</v>
      </c>
      <c r="D181" s="4">
        <f t="shared" si="6"/>
        <v>2354.5736224633511</v>
      </c>
      <c r="E181" s="3">
        <f t="shared" si="7"/>
        <v>315471.25730582012</v>
      </c>
      <c r="F181" s="4">
        <f>('Owner Occupier'!$H$24-'Owner Occupier'!$D$52)/('Owner Occupier'!$D$56-'Owner Occupier'!$D$52)*B181</f>
        <v>581.63580522534096</v>
      </c>
      <c r="G181" s="4">
        <f t="shared" si="8"/>
        <v>76971.504703856146</v>
      </c>
    </row>
    <row r="182" spans="1:7" x14ac:dyDescent="0.25">
      <c r="A182">
        <v>179</v>
      </c>
      <c r="B182" s="4">
        <f>-PPMT('Owner Occupier'!$D$41/12,'FHA Amotization'!$A182,360,'Owner Occupier'!$D$40,0,0)</f>
        <v>1237.2795861719048</v>
      </c>
      <c r="C182" s="4">
        <f>-IPMT('Owner Occupier'!$D$41/12,'FHA Amotization'!$A182,360,'Owner Occupier'!$D$40,0,0)</f>
        <v>1117.2940362914462</v>
      </c>
      <c r="D182" s="4">
        <f t="shared" si="6"/>
        <v>2354.5736224633511</v>
      </c>
      <c r="E182" s="3">
        <f t="shared" si="7"/>
        <v>314233.97771964822</v>
      </c>
      <c r="F182" s="4">
        <f>('Owner Occupier'!$H$24-'Owner Occupier'!$D$52)/('Owner Occupier'!$D$56-'Owner Occupier'!$D$52)*B182</f>
        <v>583.69576536884733</v>
      </c>
      <c r="G182" s="4">
        <f t="shared" si="8"/>
        <v>77555.20046922499</v>
      </c>
    </row>
    <row r="183" spans="1:7" x14ac:dyDescent="0.25">
      <c r="A183">
        <v>180</v>
      </c>
      <c r="B183" s="4">
        <f>-PPMT('Owner Occupier'!$D$41/12,'FHA Amotization'!$A183,360,'Owner Occupier'!$D$40,0,0)</f>
        <v>1241.661618039597</v>
      </c>
      <c r="C183" s="4">
        <f>-IPMT('Owner Occupier'!$D$41/12,'FHA Amotization'!$A183,360,'Owner Occupier'!$D$40,0,0)</f>
        <v>1112.9120044237543</v>
      </c>
      <c r="D183" s="4">
        <f t="shared" si="6"/>
        <v>2354.5736224633511</v>
      </c>
      <c r="E183" s="3">
        <f t="shared" si="7"/>
        <v>312992.31610160862</v>
      </c>
      <c r="F183" s="4">
        <f>('Owner Occupier'!$H$24-'Owner Occupier'!$D$52)/('Owner Occupier'!$D$56-'Owner Occupier'!$D$52)*B183</f>
        <v>585.76302120452874</v>
      </c>
      <c r="G183" s="4">
        <f t="shared" si="8"/>
        <v>78140.963490429524</v>
      </c>
    </row>
    <row r="184" spans="1:7" x14ac:dyDescent="0.25">
      <c r="A184">
        <v>181</v>
      </c>
      <c r="B184" s="4">
        <f>-PPMT('Owner Occupier'!$D$41/12,'FHA Amotization'!$A184,360,'Owner Occupier'!$D$40,0,0)</f>
        <v>1246.0591696034871</v>
      </c>
      <c r="C184" s="4">
        <f>-IPMT('Owner Occupier'!$D$41/12,'FHA Amotization'!$A184,360,'Owner Occupier'!$D$40,0,0)</f>
        <v>1108.5144528598642</v>
      </c>
      <c r="D184" s="4">
        <f t="shared" si="6"/>
        <v>2354.5736224633511</v>
      </c>
      <c r="E184" s="3">
        <f t="shared" si="7"/>
        <v>311746.25693200511</v>
      </c>
      <c r="F184" s="4">
        <f>('Owner Occupier'!$H$24-'Owner Occupier'!$D$52)/('Owner Occupier'!$D$56-'Owner Occupier'!$D$52)*B184</f>
        <v>587.83759857129473</v>
      </c>
      <c r="G184" s="4">
        <f t="shared" si="8"/>
        <v>78728.801089000815</v>
      </c>
    </row>
    <row r="185" spans="1:7" x14ac:dyDescent="0.25">
      <c r="A185">
        <v>182</v>
      </c>
      <c r="B185" s="4">
        <f>-PPMT('Owner Occupier'!$D$41/12,'FHA Amotization'!$A185,360,'Owner Occupier'!$D$40,0,0)</f>
        <v>1250.4722958291661</v>
      </c>
      <c r="C185" s="4">
        <f>-IPMT('Owner Occupier'!$D$41/12,'FHA Amotization'!$A185,360,'Owner Occupier'!$D$40,0,0)</f>
        <v>1104.1013266341849</v>
      </c>
      <c r="D185" s="4">
        <f t="shared" si="6"/>
        <v>2354.5736224633511</v>
      </c>
      <c r="E185" s="3">
        <f t="shared" si="7"/>
        <v>310495.78463617596</v>
      </c>
      <c r="F185" s="4">
        <f>('Owner Occupier'!$H$24-'Owner Occupier'!$D$52)/('Owner Occupier'!$D$56-'Owner Occupier'!$D$52)*B185</f>
        <v>589.91952339956799</v>
      </c>
      <c r="G185" s="4">
        <f t="shared" si="8"/>
        <v>79318.720612400386</v>
      </c>
    </row>
    <row r="186" spans="1:7" x14ac:dyDescent="0.25">
      <c r="A186">
        <v>183</v>
      </c>
      <c r="B186" s="4">
        <f>-PPMT('Owner Occupier'!$D$41/12,'FHA Amotization'!$A186,360,'Owner Occupier'!$D$40,0,0)</f>
        <v>1254.9010518768946</v>
      </c>
      <c r="C186" s="4">
        <f>-IPMT('Owner Occupier'!$D$41/12,'FHA Amotization'!$A186,360,'Owner Occupier'!$D$40,0,0)</f>
        <v>1099.6725705864569</v>
      </c>
      <c r="D186" s="4">
        <f t="shared" si="6"/>
        <v>2354.5736224633515</v>
      </c>
      <c r="E186" s="3">
        <f t="shared" si="7"/>
        <v>309240.88358429907</v>
      </c>
      <c r="F186" s="4">
        <f>('Owner Occupier'!$H$24-'Owner Occupier'!$D$52)/('Owner Occupier'!$D$56-'Owner Occupier'!$D$52)*B186</f>
        <v>592.00882171160822</v>
      </c>
      <c r="G186" s="4">
        <f t="shared" si="8"/>
        <v>79910.729434112</v>
      </c>
    </row>
    <row r="187" spans="1:7" x14ac:dyDescent="0.25">
      <c r="A187">
        <v>184</v>
      </c>
      <c r="B187" s="4">
        <f>-PPMT('Owner Occupier'!$D$41/12,'FHA Amotization'!$A187,360,'Owner Occupier'!$D$40,0,0)</f>
        <v>1259.3454931022918</v>
      </c>
      <c r="C187" s="4">
        <f>-IPMT('Owner Occupier'!$D$41/12,'FHA Amotization'!$A187,360,'Owner Occupier'!$D$40,0,0)</f>
        <v>1095.2281293610592</v>
      </c>
      <c r="D187" s="4">
        <f t="shared" si="6"/>
        <v>2354.5736224633511</v>
      </c>
      <c r="E187" s="3">
        <f t="shared" si="7"/>
        <v>307981.53809119679</v>
      </c>
      <c r="F187" s="4">
        <f>('Owner Occupier'!$H$24-'Owner Occupier'!$D$52)/('Owner Occupier'!$D$56-'Owner Occupier'!$D$52)*B187</f>
        <v>594.10551962183683</v>
      </c>
      <c r="G187" s="4">
        <f t="shared" si="8"/>
        <v>80504.834953733836</v>
      </c>
    </row>
    <row r="188" spans="1:7" x14ac:dyDescent="0.25">
      <c r="A188">
        <v>185</v>
      </c>
      <c r="B188" s="4">
        <f>-PPMT('Owner Occupier'!$D$41/12,'FHA Amotization'!$A188,360,'Owner Occupier'!$D$40,0,0)</f>
        <v>1263.805675057029</v>
      </c>
      <c r="C188" s="4">
        <f>-IPMT('Owner Occupier'!$D$41/12,'FHA Amotization'!$A188,360,'Owner Occupier'!$D$40,0,0)</f>
        <v>1090.767947406322</v>
      </c>
      <c r="D188" s="4">
        <f t="shared" si="6"/>
        <v>2354.5736224633511</v>
      </c>
      <c r="E188" s="3">
        <f t="shared" si="7"/>
        <v>306717.73241613974</v>
      </c>
      <c r="F188" s="4">
        <f>('Owner Occupier'!$H$24-'Owner Occupier'!$D$52)/('Owner Occupier'!$D$56-'Owner Occupier'!$D$52)*B188</f>
        <v>596.20964333716404</v>
      </c>
      <c r="G188" s="4">
        <f t="shared" si="8"/>
        <v>81101.044597070999</v>
      </c>
    </row>
    <row r="189" spans="1:7" x14ac:dyDescent="0.25">
      <c r="A189">
        <v>186</v>
      </c>
      <c r="B189" s="4">
        <f>-PPMT('Owner Occupier'!$D$41/12,'FHA Amotization'!$A189,360,'Owner Occupier'!$D$40,0,0)</f>
        <v>1268.2816534895226</v>
      </c>
      <c r="C189" s="4">
        <f>-IPMT('Owner Occupier'!$D$41/12,'FHA Amotization'!$A189,360,'Owner Occupier'!$D$40,0,0)</f>
        <v>1086.2919689738285</v>
      </c>
      <c r="D189" s="4">
        <f t="shared" si="6"/>
        <v>2354.5736224633511</v>
      </c>
      <c r="E189" s="3">
        <f t="shared" si="7"/>
        <v>305449.45076265023</v>
      </c>
      <c r="F189" s="4">
        <f>('Owner Occupier'!$H$24-'Owner Occupier'!$D$52)/('Owner Occupier'!$D$56-'Owner Occupier'!$D$52)*B189</f>
        <v>598.32121915731648</v>
      </c>
      <c r="G189" s="4">
        <f t="shared" si="8"/>
        <v>81699.36581622831</v>
      </c>
    </row>
    <row r="190" spans="1:7" x14ac:dyDescent="0.25">
      <c r="A190">
        <v>187</v>
      </c>
      <c r="B190" s="4">
        <f>-PPMT('Owner Occupier'!$D$41/12,'FHA Amotization'!$A190,360,'Owner Occupier'!$D$40,0,0)</f>
        <v>1272.7734843456315</v>
      </c>
      <c r="C190" s="4">
        <f>-IPMT('Owner Occupier'!$D$41/12,'FHA Amotization'!$A190,360,'Owner Occupier'!$D$40,0,0)</f>
        <v>1081.8001381177194</v>
      </c>
      <c r="D190" s="4">
        <f t="shared" si="6"/>
        <v>2354.5736224633511</v>
      </c>
      <c r="E190" s="3">
        <f t="shared" si="7"/>
        <v>304176.67727830459</v>
      </c>
      <c r="F190" s="4">
        <f>('Owner Occupier'!$H$24-'Owner Occupier'!$D$52)/('Owner Occupier'!$D$56-'Owner Occupier'!$D$52)*B190</f>
        <v>600.44027347516544</v>
      </c>
      <c r="G190" s="4">
        <f t="shared" si="8"/>
        <v>82299.806089703474</v>
      </c>
    </row>
    <row r="191" spans="1:7" x14ac:dyDescent="0.25">
      <c r="A191">
        <v>188</v>
      </c>
      <c r="B191" s="4">
        <f>-PPMT('Owner Occupier'!$D$41/12,'FHA Amotization'!$A191,360,'Owner Occupier'!$D$40,0,0)</f>
        <v>1277.2812237693554</v>
      </c>
      <c r="C191" s="4">
        <f>-IPMT('Owner Occupier'!$D$41/12,'FHA Amotization'!$A191,360,'Owner Occupier'!$D$40,0,0)</f>
        <v>1077.2923986939957</v>
      </c>
      <c r="D191" s="4">
        <f t="shared" si="6"/>
        <v>2354.5736224633511</v>
      </c>
      <c r="E191" s="3">
        <f t="shared" si="7"/>
        <v>302899.39605453523</v>
      </c>
      <c r="F191" s="4">
        <f>('Owner Occupier'!$H$24-'Owner Occupier'!$D$52)/('Owner Occupier'!$D$56-'Owner Occupier'!$D$52)*B191</f>
        <v>602.56683277705656</v>
      </c>
      <c r="G191" s="4">
        <f t="shared" si="8"/>
        <v>82902.372922480528</v>
      </c>
    </row>
    <row r="192" spans="1:7" x14ac:dyDescent="0.25">
      <c r="A192">
        <v>189</v>
      </c>
      <c r="B192" s="4">
        <f>-PPMT('Owner Occupier'!$D$41/12,'FHA Amotization'!$A192,360,'Owner Occupier'!$D$40,0,0)</f>
        <v>1281.8049281035387</v>
      </c>
      <c r="C192" s="4">
        <f>-IPMT('Owner Occupier'!$D$41/12,'FHA Amotization'!$A192,360,'Owner Occupier'!$D$40,0,0)</f>
        <v>1072.7686943598123</v>
      </c>
      <c r="D192" s="4">
        <f t="shared" si="6"/>
        <v>2354.5736224633511</v>
      </c>
      <c r="E192" s="3">
        <f t="shared" si="7"/>
        <v>301617.59112643171</v>
      </c>
      <c r="F192" s="4">
        <f>('Owner Occupier'!$H$24-'Owner Occupier'!$D$52)/('Owner Occupier'!$D$56-'Owner Occupier'!$D$52)*B192</f>
        <v>604.700923643142</v>
      </c>
      <c r="G192" s="4">
        <f t="shared" si="8"/>
        <v>83507.073846123676</v>
      </c>
    </row>
    <row r="193" spans="1:7" x14ac:dyDescent="0.25">
      <c r="A193">
        <v>190</v>
      </c>
      <c r="B193" s="4">
        <f>-PPMT('Owner Occupier'!$D$41/12,'FHA Amotization'!$A193,360,'Owner Occupier'!$D$40,0,0)</f>
        <v>1286.3446538905721</v>
      </c>
      <c r="C193" s="4">
        <f>-IPMT('Owner Occupier'!$D$41/12,'FHA Amotization'!$A193,360,'Owner Occupier'!$D$40,0,0)</f>
        <v>1068.228968572779</v>
      </c>
      <c r="D193" s="4">
        <f t="shared" si="6"/>
        <v>2354.5736224633511</v>
      </c>
      <c r="E193" s="3">
        <f t="shared" si="7"/>
        <v>300331.24647254113</v>
      </c>
      <c r="F193" s="4">
        <f>('Owner Occupier'!$H$24-'Owner Occupier'!$D$52)/('Owner Occupier'!$D$56-'Owner Occupier'!$D$52)*B193</f>
        <v>606.84257274771153</v>
      </c>
      <c r="G193" s="4">
        <f t="shared" si="8"/>
        <v>84113.916418871391</v>
      </c>
    </row>
    <row r="194" spans="1:7" x14ac:dyDescent="0.25">
      <c r="A194">
        <v>191</v>
      </c>
      <c r="B194" s="4">
        <f>-PPMT('Owner Occupier'!$D$41/12,'FHA Amotization'!$A194,360,'Owner Occupier'!$D$40,0,0)</f>
        <v>1290.9004578731012</v>
      </c>
      <c r="C194" s="4">
        <f>-IPMT('Owner Occupier'!$D$41/12,'FHA Amotization'!$A194,360,'Owner Occupier'!$D$40,0,0)</f>
        <v>1063.6731645902498</v>
      </c>
      <c r="D194" s="4">
        <f t="shared" si="6"/>
        <v>2354.5736224633511</v>
      </c>
      <c r="E194" s="3">
        <f t="shared" si="7"/>
        <v>299040.346014668</v>
      </c>
      <c r="F194" s="4">
        <f>('Owner Occupier'!$H$24-'Owner Occupier'!$D$52)/('Owner Occupier'!$D$56-'Owner Occupier'!$D$52)*B194</f>
        <v>608.99180685952638</v>
      </c>
      <c r="G194" s="4">
        <f t="shared" si="8"/>
        <v>84722.90822573092</v>
      </c>
    </row>
    <row r="195" spans="1:7" x14ac:dyDescent="0.25">
      <c r="A195">
        <v>192</v>
      </c>
      <c r="B195" s="4">
        <f>-PPMT('Owner Occupier'!$D$41/12,'FHA Amotization'!$A195,360,'Owner Occupier'!$D$40,0,0)</f>
        <v>1295.4723969947349</v>
      </c>
      <c r="C195" s="4">
        <f>-IPMT('Owner Occupier'!$D$41/12,'FHA Amotization'!$A195,360,'Owner Occupier'!$D$40,0,0)</f>
        <v>1059.1012254686161</v>
      </c>
      <c r="D195" s="4">
        <f t="shared" si="6"/>
        <v>2354.5736224633511</v>
      </c>
      <c r="E195" s="3">
        <f t="shared" si="7"/>
        <v>297744.87361767329</v>
      </c>
      <c r="F195" s="4">
        <f>('Owner Occupier'!$H$24-'Owner Occupier'!$D$52)/('Owner Occupier'!$D$56-'Owner Occupier'!$D$52)*B195</f>
        <v>611.14865284215375</v>
      </c>
      <c r="G195" s="4">
        <f t="shared" si="8"/>
        <v>85334.056878573072</v>
      </c>
    </row>
    <row r="196" spans="1:7" x14ac:dyDescent="0.25">
      <c r="A196">
        <v>193</v>
      </c>
      <c r="B196" s="4">
        <f>-PPMT('Owner Occupier'!$D$41/12,'FHA Amotization'!$A196,360,'Owner Occupier'!$D$40,0,0)</f>
        <v>1300.0605284007579</v>
      </c>
      <c r="C196" s="4">
        <f>-IPMT('Owner Occupier'!$D$41/12,'FHA Amotization'!$A196,360,'Owner Occupier'!$D$40,0,0)</f>
        <v>1054.5130940625927</v>
      </c>
      <c r="D196" s="4">
        <f t="shared" si="6"/>
        <v>2354.5736224633506</v>
      </c>
      <c r="E196" s="3">
        <f t="shared" si="7"/>
        <v>296444.81308927253</v>
      </c>
      <c r="F196" s="4">
        <f>('Owner Occupier'!$H$24-'Owner Occupier'!$D$52)/('Owner Occupier'!$D$56-'Owner Occupier'!$D$52)*B196</f>
        <v>613.31313765430298</v>
      </c>
      <c r="G196" s="4">
        <f t="shared" si="8"/>
        <v>85947.370016227374</v>
      </c>
    </row>
    <row r="197" spans="1:7" x14ac:dyDescent="0.25">
      <c r="A197">
        <v>194</v>
      </c>
      <c r="B197" s="4">
        <f>-PPMT('Owner Occupier'!$D$41/12,'FHA Amotization'!$A197,360,'Owner Occupier'!$D$40,0,0)</f>
        <v>1304.6649094388442</v>
      </c>
      <c r="C197" s="4">
        <f>-IPMT('Owner Occupier'!$D$41/12,'FHA Amotization'!$A197,360,'Owner Occupier'!$D$40,0,0)</f>
        <v>1049.9087130245071</v>
      </c>
      <c r="D197" s="4">
        <f t="shared" ref="D197:D260" si="9">B197+C197</f>
        <v>2354.5736224633511</v>
      </c>
      <c r="E197" s="3">
        <f t="shared" si="7"/>
        <v>295140.14817983366</v>
      </c>
      <c r="F197" s="4">
        <f>('Owner Occupier'!$H$24-'Owner Occupier'!$D$52)/('Owner Occupier'!$D$56-'Owner Occupier'!$D$52)*B197</f>
        <v>615.48528835016214</v>
      </c>
      <c r="G197" s="4">
        <f t="shared" si="8"/>
        <v>86562.855304577533</v>
      </c>
    </row>
    <row r="198" spans="1:7" x14ac:dyDescent="0.25">
      <c r="A198">
        <v>195</v>
      </c>
      <c r="B198" s="4">
        <f>-PPMT('Owner Occupier'!$D$41/12,'FHA Amotization'!$A198,360,'Owner Occupier'!$D$40,0,0)</f>
        <v>1309.2855976597732</v>
      </c>
      <c r="C198" s="4">
        <f>-IPMT('Owner Occupier'!$D$41/12,'FHA Amotization'!$A198,360,'Owner Occupier'!$D$40,0,0)</f>
        <v>1045.2880248035776</v>
      </c>
      <c r="D198" s="4">
        <f t="shared" si="9"/>
        <v>2354.5736224633511</v>
      </c>
      <c r="E198" s="3">
        <f t="shared" ref="E198:E261" si="10">E197-B198</f>
        <v>293830.8625821739</v>
      </c>
      <c r="F198" s="4">
        <f>('Owner Occupier'!$H$24-'Owner Occupier'!$D$52)/('Owner Occupier'!$D$56-'Owner Occupier'!$D$52)*B198</f>
        <v>617.66513207973549</v>
      </c>
      <c r="G198" s="4">
        <f t="shared" ref="G198:G261" si="11">F198+G197</f>
        <v>87180.520436657273</v>
      </c>
    </row>
    <row r="199" spans="1:7" x14ac:dyDescent="0.25">
      <c r="A199">
        <v>196</v>
      </c>
      <c r="B199" s="4">
        <f>-PPMT('Owner Occupier'!$D$41/12,'FHA Amotization'!$A199,360,'Owner Occupier'!$D$40,0,0)</f>
        <v>1313.9226508181519</v>
      </c>
      <c r="C199" s="4">
        <f>-IPMT('Owner Occupier'!$D$41/12,'FHA Amotization'!$A199,360,'Owner Occupier'!$D$40,0,0)</f>
        <v>1040.6509716451994</v>
      </c>
      <c r="D199" s="4">
        <f t="shared" si="9"/>
        <v>2354.5736224633511</v>
      </c>
      <c r="E199" s="3">
        <f t="shared" si="10"/>
        <v>292516.93993135577</v>
      </c>
      <c r="F199" s="4">
        <f>('Owner Occupier'!$H$24-'Owner Occupier'!$D$52)/('Owner Occupier'!$D$56-'Owner Occupier'!$D$52)*B199</f>
        <v>619.85269608918463</v>
      </c>
      <c r="G199" s="4">
        <f t="shared" si="11"/>
        <v>87800.373132746463</v>
      </c>
    </row>
    <row r="200" spans="1:7" x14ac:dyDescent="0.25">
      <c r="A200">
        <v>197</v>
      </c>
      <c r="B200" s="4">
        <f>-PPMT('Owner Occupier'!$D$41/12,'FHA Amotization'!$A200,360,'Owner Occupier'!$D$40,0,0)</f>
        <v>1318.5761268731328</v>
      </c>
      <c r="C200" s="4">
        <f>-IPMT('Owner Occupier'!$D$41/12,'FHA Amotization'!$A200,360,'Owner Occupier'!$D$40,0,0)</f>
        <v>1035.9974955902185</v>
      </c>
      <c r="D200" s="4">
        <f t="shared" si="9"/>
        <v>2354.5736224633511</v>
      </c>
      <c r="E200" s="3">
        <f t="shared" si="10"/>
        <v>291198.36380448262</v>
      </c>
      <c r="F200" s="4">
        <f>('Owner Occupier'!$H$24-'Owner Occupier'!$D$52)/('Owner Occupier'!$D$56-'Owner Occupier'!$D$52)*B200</f>
        <v>622.04800772116721</v>
      </c>
      <c r="G200" s="4">
        <f t="shared" si="11"/>
        <v>88422.421140467632</v>
      </c>
    </row>
    <row r="201" spans="1:7" x14ac:dyDescent="0.25">
      <c r="A201">
        <v>198</v>
      </c>
      <c r="B201" s="4">
        <f>-PPMT('Owner Occupier'!$D$41/12,'FHA Amotization'!$A201,360,'Owner Occupier'!$D$40,0,0)</f>
        <v>1323.2460839891417</v>
      </c>
      <c r="C201" s="4">
        <f>-IPMT('Owner Occupier'!$D$41/12,'FHA Amotization'!$A201,360,'Owner Occupier'!$D$40,0,0)</f>
        <v>1031.3275384742096</v>
      </c>
      <c r="D201" s="4">
        <f t="shared" si="9"/>
        <v>2354.5736224633511</v>
      </c>
      <c r="E201" s="3">
        <f t="shared" si="10"/>
        <v>289875.11772049346</v>
      </c>
      <c r="F201" s="4">
        <f>('Owner Occupier'!$H$24-'Owner Occupier'!$D$52)/('Owner Occupier'!$D$56-'Owner Occupier'!$D$52)*B201</f>
        <v>624.25109441517964</v>
      </c>
      <c r="G201" s="4">
        <f t="shared" si="11"/>
        <v>89046.672234882804</v>
      </c>
    </row>
    <row r="202" spans="1:7" x14ac:dyDescent="0.25">
      <c r="A202">
        <v>199</v>
      </c>
      <c r="B202" s="4">
        <f>-PPMT('Owner Occupier'!$D$41/12,'FHA Amotization'!$A202,360,'Owner Occupier'!$D$40,0,0)</f>
        <v>1327.9325805366032</v>
      </c>
      <c r="C202" s="4">
        <f>-IPMT('Owner Occupier'!$D$41/12,'FHA Amotization'!$A202,360,'Owner Occupier'!$D$40,0,0)</f>
        <v>1026.6410419267477</v>
      </c>
      <c r="D202" s="4">
        <f t="shared" si="9"/>
        <v>2354.5736224633511</v>
      </c>
      <c r="E202" s="3">
        <f t="shared" si="10"/>
        <v>288547.18513995688</v>
      </c>
      <c r="F202" s="4">
        <f>('Owner Occupier'!$H$24-'Owner Occupier'!$D$52)/('Owner Occupier'!$D$56-'Owner Occupier'!$D$52)*B202</f>
        <v>626.4619837079</v>
      </c>
      <c r="G202" s="4">
        <f t="shared" si="11"/>
        <v>89673.134218590698</v>
      </c>
    </row>
    <row r="203" spans="1:7" x14ac:dyDescent="0.25">
      <c r="A203">
        <v>200</v>
      </c>
      <c r="B203" s="4">
        <f>-PPMT('Owner Occupier'!$D$41/12,'FHA Amotization'!$A203,360,'Owner Occupier'!$D$40,0,0)</f>
        <v>1332.6356750926702</v>
      </c>
      <c r="C203" s="4">
        <f>-IPMT('Owner Occupier'!$D$41/12,'FHA Amotization'!$A203,360,'Owner Occupier'!$D$40,0,0)</f>
        <v>1021.9379473706809</v>
      </c>
      <c r="D203" s="4">
        <f t="shared" si="9"/>
        <v>2354.5736224633511</v>
      </c>
      <c r="E203" s="3">
        <f t="shared" si="10"/>
        <v>287214.54946486419</v>
      </c>
      <c r="F203" s="4">
        <f>('Owner Occupier'!$H$24-'Owner Occupier'!$D$52)/('Owner Occupier'!$D$56-'Owner Occupier'!$D$52)*B203</f>
        <v>628.68070323353209</v>
      </c>
      <c r="G203" s="4">
        <f t="shared" si="11"/>
        <v>90301.814921824232</v>
      </c>
    </row>
    <row r="204" spans="1:7" x14ac:dyDescent="0.25">
      <c r="A204">
        <v>201</v>
      </c>
      <c r="B204" s="4">
        <f>-PPMT('Owner Occupier'!$D$41/12,'FHA Amotization'!$A204,360,'Owner Occupier'!$D$40,0,0)</f>
        <v>1337.355426441957</v>
      </c>
      <c r="C204" s="4">
        <f>-IPMT('Owner Occupier'!$D$41/12,'FHA Amotization'!$A204,360,'Owner Occupier'!$D$40,0,0)</f>
        <v>1017.2181960213945</v>
      </c>
      <c r="D204" s="4">
        <f t="shared" si="9"/>
        <v>2354.5736224633515</v>
      </c>
      <c r="E204" s="3">
        <f t="shared" si="10"/>
        <v>285877.19403842225</v>
      </c>
      <c r="F204" s="4">
        <f>('Owner Occupier'!$H$24-'Owner Occupier'!$D$52)/('Owner Occupier'!$D$56-'Owner Occupier'!$D$52)*B204</f>
        <v>630.90728072415095</v>
      </c>
      <c r="G204" s="4">
        <f t="shared" si="11"/>
        <v>90932.722202548379</v>
      </c>
    </row>
    <row r="205" spans="1:7" x14ac:dyDescent="0.25">
      <c r="A205">
        <v>202</v>
      </c>
      <c r="B205" s="4">
        <f>-PPMT('Owner Occupier'!$D$41/12,'FHA Amotization'!$A205,360,'Owner Occupier'!$D$40,0,0)</f>
        <v>1342.091893577272</v>
      </c>
      <c r="C205" s="4">
        <f>-IPMT('Owner Occupier'!$D$41/12,'FHA Amotization'!$A205,360,'Owner Occupier'!$D$40,0,0)</f>
        <v>1012.4817288860789</v>
      </c>
      <c r="D205" s="4">
        <f t="shared" si="9"/>
        <v>2354.5736224633511</v>
      </c>
      <c r="E205" s="3">
        <f t="shared" si="10"/>
        <v>284535.102144845</v>
      </c>
      <c r="F205" s="4">
        <f>('Owner Occupier'!$H$24-'Owner Occupier'!$D$52)/('Owner Occupier'!$D$56-'Owner Occupier'!$D$52)*B205</f>
        <v>633.14174401004891</v>
      </c>
      <c r="G205" s="4">
        <f t="shared" si="11"/>
        <v>91565.863946558427</v>
      </c>
    </row>
    <row r="206" spans="1:7" x14ac:dyDescent="0.25">
      <c r="A206">
        <v>203</v>
      </c>
      <c r="B206" s="4">
        <f>-PPMT('Owner Occupier'!$D$41/12,'FHA Amotization'!$A206,360,'Owner Occupier'!$D$40,0,0)</f>
        <v>1346.8451357003582</v>
      </c>
      <c r="C206" s="4">
        <f>-IPMT('Owner Occupier'!$D$41/12,'FHA Amotization'!$A206,360,'Owner Occupier'!$D$40,0,0)</f>
        <v>1007.7284867629928</v>
      </c>
      <c r="D206" s="4">
        <f t="shared" si="9"/>
        <v>2354.5736224633511</v>
      </c>
      <c r="E206" s="3">
        <f t="shared" si="10"/>
        <v>283188.25700914464</v>
      </c>
      <c r="F206" s="4">
        <f>('Owner Occupier'!$H$24-'Owner Occupier'!$D$52)/('Owner Occupier'!$D$56-'Owner Occupier'!$D$52)*B206</f>
        <v>635.38412102008454</v>
      </c>
      <c r="G206" s="4">
        <f t="shared" si="11"/>
        <v>92201.248067578519</v>
      </c>
    </row>
    <row r="207" spans="1:7" x14ac:dyDescent="0.25">
      <c r="A207">
        <v>204</v>
      </c>
      <c r="B207" s="4">
        <f>-PPMT('Owner Occupier'!$D$41/12,'FHA Amotization'!$A207,360,'Owner Occupier'!$D$40,0,0)</f>
        <v>1351.6152122226304</v>
      </c>
      <c r="C207" s="4">
        <f>-IPMT('Owner Occupier'!$D$41/12,'FHA Amotization'!$A207,360,'Owner Occupier'!$D$40,0,0)</f>
        <v>1002.9584102407207</v>
      </c>
      <c r="D207" s="4">
        <f t="shared" si="9"/>
        <v>2354.5736224633511</v>
      </c>
      <c r="E207" s="3">
        <f t="shared" si="10"/>
        <v>281836.64179692202</v>
      </c>
      <c r="F207" s="4">
        <f>('Owner Occupier'!$H$24-'Owner Occupier'!$D$52)/('Owner Occupier'!$D$56-'Owner Occupier'!$D$52)*B207</f>
        <v>637.63443978203065</v>
      </c>
      <c r="G207" s="4">
        <f t="shared" si="11"/>
        <v>92838.882507360555</v>
      </c>
    </row>
    <row r="208" spans="1:7" x14ac:dyDescent="0.25">
      <c r="A208">
        <v>205</v>
      </c>
      <c r="B208" s="4">
        <f>-PPMT('Owner Occupier'!$D$41/12,'FHA Amotization'!$A208,360,'Owner Occupier'!$D$40,0,0)</f>
        <v>1356.402182765919</v>
      </c>
      <c r="C208" s="4">
        <f>-IPMT('Owner Occupier'!$D$41/12,'FHA Amotization'!$A208,360,'Owner Occupier'!$D$40,0,0)</f>
        <v>998.17143969743222</v>
      </c>
      <c r="D208" s="4">
        <f t="shared" si="9"/>
        <v>2354.5736224633511</v>
      </c>
      <c r="E208" s="3">
        <f t="shared" si="10"/>
        <v>280480.23961415607</v>
      </c>
      <c r="F208" s="4">
        <f>('Owner Occupier'!$H$24-'Owner Occupier'!$D$52)/('Owner Occupier'!$D$56-'Owner Occupier'!$D$52)*B208</f>
        <v>639.89272842292542</v>
      </c>
      <c r="G208" s="4">
        <f t="shared" si="11"/>
        <v>93478.775235783483</v>
      </c>
    </row>
    <row r="209" spans="1:7" x14ac:dyDescent="0.25">
      <c r="A209">
        <v>206</v>
      </c>
      <c r="B209" s="4">
        <f>-PPMT('Owner Occupier'!$D$41/12,'FHA Amotization'!$A209,360,'Owner Occupier'!$D$40,0,0)</f>
        <v>1361.2061071632147</v>
      </c>
      <c r="C209" s="4">
        <f>-IPMT('Owner Occupier'!$D$41/12,'FHA Amotization'!$A209,360,'Owner Occupier'!$D$40,0,0)</f>
        <v>993.36751530013635</v>
      </c>
      <c r="D209" s="4">
        <f t="shared" si="9"/>
        <v>2354.5736224633511</v>
      </c>
      <c r="E209" s="3">
        <f t="shared" si="10"/>
        <v>279119.03350699286</v>
      </c>
      <c r="F209" s="4">
        <f>('Owner Occupier'!$H$24-'Owner Occupier'!$D$52)/('Owner Occupier'!$D$56-'Owner Occupier'!$D$52)*B209</f>
        <v>642.15901516942313</v>
      </c>
      <c r="G209" s="4">
        <f t="shared" si="11"/>
        <v>94120.934250952909</v>
      </c>
    </row>
    <row r="210" spans="1:7" x14ac:dyDescent="0.25">
      <c r="A210">
        <v>207</v>
      </c>
      <c r="B210" s="4">
        <f>-PPMT('Owner Occupier'!$D$41/12,'FHA Amotization'!$A210,360,'Owner Occupier'!$D$40,0,0)</f>
        <v>1366.0270454594179</v>
      </c>
      <c r="C210" s="4">
        <f>-IPMT('Owner Occupier'!$D$41/12,'FHA Amotization'!$A210,360,'Owner Occupier'!$D$40,0,0)</f>
        <v>988.54657700393329</v>
      </c>
      <c r="D210" s="4">
        <f t="shared" si="9"/>
        <v>2354.5736224633511</v>
      </c>
      <c r="E210" s="3">
        <f t="shared" si="10"/>
        <v>277753.00646153343</v>
      </c>
      <c r="F210" s="4">
        <f>('Owner Occupier'!$H$24-'Owner Occupier'!$D$52)/('Owner Occupier'!$D$56-'Owner Occupier'!$D$52)*B210</f>
        <v>644.43332834814828</v>
      </c>
      <c r="G210" s="4">
        <f t="shared" si="11"/>
        <v>94765.367579301063</v>
      </c>
    </row>
    <row r="211" spans="1:7" x14ac:dyDescent="0.25">
      <c r="A211">
        <v>208</v>
      </c>
      <c r="B211" s="4">
        <f>-PPMT('Owner Occupier'!$D$41/12,'FHA Amotization'!$A211,360,'Owner Occupier'!$D$40,0,0)</f>
        <v>1370.8650579120867</v>
      </c>
      <c r="C211" s="4">
        <f>-IPMT('Owner Occupier'!$D$41/12,'FHA Amotization'!$A211,360,'Owner Occupier'!$D$40,0,0)</f>
        <v>983.70856455126454</v>
      </c>
      <c r="D211" s="4">
        <f t="shared" si="9"/>
        <v>2354.5736224633511</v>
      </c>
      <c r="E211" s="3">
        <f t="shared" si="10"/>
        <v>276382.14140362135</v>
      </c>
      <c r="F211" s="4">
        <f>('Owner Occupier'!$H$24-'Owner Occupier'!$D$52)/('Owner Occupier'!$D$56-'Owner Occupier'!$D$52)*B211</f>
        <v>646.71569638604797</v>
      </c>
      <c r="G211" s="4">
        <f t="shared" si="11"/>
        <v>95412.08327568711</v>
      </c>
    </row>
    <row r="212" spans="1:7" x14ac:dyDescent="0.25">
      <c r="A212">
        <v>209</v>
      </c>
      <c r="B212" s="4">
        <f>-PPMT('Owner Occupier'!$D$41/12,'FHA Amotization'!$A212,360,'Owner Occupier'!$D$40,0,0)</f>
        <v>1375.7202049921918</v>
      </c>
      <c r="C212" s="4">
        <f>-IPMT('Owner Occupier'!$D$41/12,'FHA Amotization'!$A212,360,'Owner Occupier'!$D$40,0,0)</f>
        <v>978.85341747115899</v>
      </c>
      <c r="D212" s="4">
        <f t="shared" si="9"/>
        <v>2354.5736224633511</v>
      </c>
      <c r="E212" s="3">
        <f t="shared" si="10"/>
        <v>275006.42119862913</v>
      </c>
      <c r="F212" s="4">
        <f>('Owner Occupier'!$H$24-'Owner Occupier'!$D$52)/('Owner Occupier'!$D$56-'Owner Occupier'!$D$52)*B212</f>
        <v>649.00614781074853</v>
      </c>
      <c r="G212" s="4">
        <f t="shared" si="11"/>
        <v>96061.089423497862</v>
      </c>
    </row>
    <row r="213" spans="1:7" x14ac:dyDescent="0.25">
      <c r="A213">
        <v>210</v>
      </c>
      <c r="B213" s="4">
        <f>-PPMT('Owner Occupier'!$D$41/12,'FHA Amotization'!$A213,360,'Owner Occupier'!$D$40,0,0)</f>
        <v>1380.5925473848727</v>
      </c>
      <c r="C213" s="4">
        <f>-IPMT('Owner Occupier'!$D$41/12,'FHA Amotization'!$A213,360,'Owner Occupier'!$D$40,0,0)</f>
        <v>973.98107507847851</v>
      </c>
      <c r="D213" s="4">
        <f t="shared" si="9"/>
        <v>2354.5736224633511</v>
      </c>
      <c r="E213" s="3">
        <f t="shared" si="10"/>
        <v>273625.82865124429</v>
      </c>
      <c r="F213" s="4">
        <f>('Owner Occupier'!$H$24-'Owner Occupier'!$D$52)/('Owner Occupier'!$D$56-'Owner Occupier'!$D$52)*B213</f>
        <v>651.30471125091162</v>
      </c>
      <c r="G213" s="4">
        <f t="shared" si="11"/>
        <v>96712.394134748771</v>
      </c>
    </row>
    <row r="214" spans="1:7" x14ac:dyDescent="0.25">
      <c r="A214">
        <v>211</v>
      </c>
      <c r="B214" s="4">
        <f>-PPMT('Owner Occupier'!$D$41/12,'FHA Amotization'!$A214,360,'Owner Occupier'!$D$40,0,0)</f>
        <v>1385.4821459901941</v>
      </c>
      <c r="C214" s="4">
        <f>-IPMT('Owner Occupier'!$D$41/12,'FHA Amotization'!$A214,360,'Owner Occupier'!$D$40,0,0)</f>
        <v>969.09147647315694</v>
      </c>
      <c r="D214" s="4">
        <f t="shared" si="9"/>
        <v>2354.5736224633511</v>
      </c>
      <c r="E214" s="3">
        <f t="shared" si="10"/>
        <v>272240.3465052541</v>
      </c>
      <c r="F214" s="4">
        <f>('Owner Occupier'!$H$24-'Owner Occupier'!$D$52)/('Owner Occupier'!$D$56-'Owner Occupier'!$D$52)*B214</f>
        <v>653.61141543659198</v>
      </c>
      <c r="G214" s="4">
        <f t="shared" si="11"/>
        <v>97366.005550185364</v>
      </c>
    </row>
    <row r="215" spans="1:7" x14ac:dyDescent="0.25">
      <c r="A215">
        <v>212</v>
      </c>
      <c r="B215" s="4">
        <f>-PPMT('Owner Occupier'!$D$41/12,'FHA Amotization'!$A215,360,'Owner Occupier'!$D$40,0,0)</f>
        <v>1390.3890619239094</v>
      </c>
      <c r="C215" s="4">
        <f>-IPMT('Owner Occupier'!$D$41/12,'FHA Amotization'!$A215,360,'Owner Occupier'!$D$40,0,0)</f>
        <v>964.18456053944192</v>
      </c>
      <c r="D215" s="4">
        <f t="shared" si="9"/>
        <v>2354.5736224633511</v>
      </c>
      <c r="E215" s="3">
        <f t="shared" si="10"/>
        <v>270849.9574433302</v>
      </c>
      <c r="F215" s="4">
        <f>('Owner Occupier'!$H$24-'Owner Occupier'!$D$52)/('Owner Occupier'!$D$56-'Owner Occupier'!$D$52)*B215</f>
        <v>655.92628919959657</v>
      </c>
      <c r="G215" s="4">
        <f t="shared" si="11"/>
        <v>98021.931839384953</v>
      </c>
    </row>
    <row r="216" spans="1:7" x14ac:dyDescent="0.25">
      <c r="A216">
        <v>213</v>
      </c>
      <c r="B216" s="4">
        <f>-PPMT('Owner Occupier'!$D$41/12,'FHA Amotization'!$A216,360,'Owner Occupier'!$D$40,0,0)</f>
        <v>1395.3133565182231</v>
      </c>
      <c r="C216" s="4">
        <f>-IPMT('Owner Occupier'!$D$41/12,'FHA Amotization'!$A216,360,'Owner Occupier'!$D$40,0,0)</f>
        <v>959.26026594512768</v>
      </c>
      <c r="D216" s="4">
        <f t="shared" si="9"/>
        <v>2354.5736224633511</v>
      </c>
      <c r="E216" s="3">
        <f t="shared" si="10"/>
        <v>269454.64408681198</v>
      </c>
      <c r="F216" s="4">
        <f>('Owner Occupier'!$H$24-'Owner Occupier'!$D$52)/('Owner Occupier'!$D$56-'Owner Occupier'!$D$52)*B216</f>
        <v>658.24936147384506</v>
      </c>
      <c r="G216" s="4">
        <f t="shared" si="11"/>
        <v>98680.181200858802</v>
      </c>
    </row>
    <row r="217" spans="1:7" x14ac:dyDescent="0.25">
      <c r="A217">
        <v>214</v>
      </c>
      <c r="B217" s="4">
        <f>-PPMT('Owner Occupier'!$D$41/12,'FHA Amotization'!$A217,360,'Owner Occupier'!$D$40,0,0)</f>
        <v>1400.2550913225584</v>
      </c>
      <c r="C217" s="4">
        <f>-IPMT('Owner Occupier'!$D$41/12,'FHA Amotization'!$A217,360,'Owner Occupier'!$D$40,0,0)</f>
        <v>954.31853114079229</v>
      </c>
      <c r="D217" s="4">
        <f t="shared" si="9"/>
        <v>2354.5736224633506</v>
      </c>
      <c r="E217" s="3">
        <f t="shared" si="10"/>
        <v>268054.3889954894</v>
      </c>
      <c r="F217" s="4">
        <f>('Owner Occupier'!$H$24-'Owner Occupier'!$D$52)/('Owner Occupier'!$D$56-'Owner Occupier'!$D$52)*B217</f>
        <v>660.5806612957316</v>
      </c>
      <c r="G217" s="4">
        <f t="shared" si="11"/>
        <v>99340.761862154541</v>
      </c>
    </row>
    <row r="218" spans="1:7" x14ac:dyDescent="0.25">
      <c r="A218">
        <v>215</v>
      </c>
      <c r="B218" s="4">
        <f>-PPMT('Owner Occupier'!$D$41/12,'FHA Amotization'!$A218,360,'Owner Occupier'!$D$40,0,0)</f>
        <v>1405.2143281043259</v>
      </c>
      <c r="C218" s="4">
        <f>-IPMT('Owner Occupier'!$D$41/12,'FHA Amotization'!$A218,360,'Owner Occupier'!$D$40,0,0)</f>
        <v>949.35929435902517</v>
      </c>
      <c r="D218" s="4">
        <f t="shared" si="9"/>
        <v>2354.5736224633511</v>
      </c>
      <c r="E218" s="3">
        <f t="shared" si="10"/>
        <v>266649.17466738506</v>
      </c>
      <c r="F218" s="4">
        <f>('Owner Occupier'!$H$24-'Owner Occupier'!$D$52)/('Owner Occupier'!$D$56-'Owner Occupier'!$D$52)*B218</f>
        <v>662.92021780448738</v>
      </c>
      <c r="G218" s="4">
        <f t="shared" si="11"/>
        <v>100003.68207995904</v>
      </c>
    </row>
    <row r="219" spans="1:7" x14ac:dyDescent="0.25">
      <c r="A219">
        <v>216</v>
      </c>
      <c r="B219" s="4">
        <f>-PPMT('Owner Occupier'!$D$41/12,'FHA Amotization'!$A219,360,'Owner Occupier'!$D$40,0,0)</f>
        <v>1410.1911288496954</v>
      </c>
      <c r="C219" s="4">
        <f>-IPMT('Owner Occupier'!$D$41/12,'FHA Amotization'!$A219,360,'Owner Occupier'!$D$40,0,0)</f>
        <v>944.3824936136557</v>
      </c>
      <c r="D219" s="4">
        <f t="shared" si="9"/>
        <v>2354.5736224633511</v>
      </c>
      <c r="E219" s="3">
        <f t="shared" si="10"/>
        <v>265238.98353853537</v>
      </c>
      <c r="F219" s="4">
        <f>('Owner Occupier'!$H$24-'Owner Occupier'!$D$52)/('Owner Occupier'!$D$56-'Owner Occupier'!$D$52)*B219</f>
        <v>665.26806024254483</v>
      </c>
      <c r="G219" s="4">
        <f t="shared" si="11"/>
        <v>100668.95014020157</v>
      </c>
    </row>
    <row r="220" spans="1:7" x14ac:dyDescent="0.25">
      <c r="A220">
        <v>217</v>
      </c>
      <c r="B220" s="4">
        <f>-PPMT('Owner Occupier'!$D$41/12,'FHA Amotization'!$A220,360,'Owner Occupier'!$D$40,0,0)</f>
        <v>1415.1855557643714</v>
      </c>
      <c r="C220" s="4">
        <f>-IPMT('Owner Occupier'!$D$41/12,'FHA Amotization'!$A220,360,'Owner Occupier'!$D$40,0,0)</f>
        <v>939.38806669897951</v>
      </c>
      <c r="D220" s="4">
        <f t="shared" si="9"/>
        <v>2354.5736224633511</v>
      </c>
      <c r="E220" s="3">
        <f t="shared" si="10"/>
        <v>263823.79798277101</v>
      </c>
      <c r="F220" s="4">
        <f>('Owner Occupier'!$H$24-'Owner Occupier'!$D$52)/('Owner Occupier'!$D$56-'Owner Occupier'!$D$52)*B220</f>
        <v>667.62421795590387</v>
      </c>
      <c r="G220" s="4">
        <f t="shared" si="11"/>
        <v>101336.57435815748</v>
      </c>
    </row>
    <row r="221" spans="1:7" x14ac:dyDescent="0.25">
      <c r="A221">
        <v>218</v>
      </c>
      <c r="B221" s="4">
        <f>-PPMT('Owner Occupier'!$D$41/12,'FHA Amotization'!$A221,360,'Owner Occupier'!$D$40,0,0)</f>
        <v>1420.1976712743701</v>
      </c>
      <c r="C221" s="4">
        <f>-IPMT('Owner Occupier'!$D$41/12,'FHA Amotization'!$A221,360,'Owner Occupier'!$D$40,0,0)</f>
        <v>934.37595118898071</v>
      </c>
      <c r="D221" s="4">
        <f t="shared" si="9"/>
        <v>2354.5736224633511</v>
      </c>
      <c r="E221" s="3">
        <f t="shared" si="10"/>
        <v>262403.60031149664</v>
      </c>
      <c r="F221" s="4">
        <f>('Owner Occupier'!$H$24-'Owner Occupier'!$D$52)/('Owner Occupier'!$D$56-'Owner Occupier'!$D$52)*B221</f>
        <v>669.9887203944977</v>
      </c>
      <c r="G221" s="4">
        <f t="shared" si="11"/>
        <v>102006.56307855198</v>
      </c>
    </row>
    <row r="222" spans="1:7" x14ac:dyDescent="0.25">
      <c r="A222">
        <v>219</v>
      </c>
      <c r="B222" s="4">
        <f>-PPMT('Owner Occupier'!$D$41/12,'FHA Amotization'!$A222,360,'Owner Occupier'!$D$40,0,0)</f>
        <v>1425.2275380268002</v>
      </c>
      <c r="C222" s="4">
        <f>-IPMT('Owner Occupier'!$D$41/12,'FHA Amotization'!$A222,360,'Owner Occupier'!$D$40,0,0)</f>
        <v>929.34608443655088</v>
      </c>
      <c r="D222" s="4">
        <f t="shared" si="9"/>
        <v>2354.5736224633511</v>
      </c>
      <c r="E222" s="3">
        <f t="shared" si="10"/>
        <v>260978.37277346983</v>
      </c>
      <c r="F222" s="4">
        <f>('Owner Occupier'!$H$24-'Owner Occupier'!$D$52)/('Owner Occupier'!$D$56-'Owner Occupier'!$D$52)*B222</f>
        <v>672.36159711256153</v>
      </c>
      <c r="G222" s="4">
        <f t="shared" si="11"/>
        <v>102678.92467566453</v>
      </c>
    </row>
    <row r="223" spans="1:7" x14ac:dyDescent="0.25">
      <c r="A223">
        <v>220</v>
      </c>
      <c r="B223" s="4">
        <f>-PPMT('Owner Occupier'!$D$41/12,'FHA Amotization'!$A223,360,'Owner Occupier'!$D$40,0,0)</f>
        <v>1430.2752188906454</v>
      </c>
      <c r="C223" s="4">
        <f>-IPMT('Owner Occupier'!$D$41/12,'FHA Amotization'!$A223,360,'Owner Occupier'!$D$40,0,0)</f>
        <v>924.29840357270587</v>
      </c>
      <c r="D223" s="4">
        <f t="shared" si="9"/>
        <v>2354.5736224633511</v>
      </c>
      <c r="E223" s="3">
        <f t="shared" si="10"/>
        <v>259548.09755457917</v>
      </c>
      <c r="F223" s="4">
        <f>('Owner Occupier'!$H$24-'Owner Occupier'!$D$52)/('Owner Occupier'!$D$56-'Owner Occupier'!$D$52)*B223</f>
        <v>674.74287776900201</v>
      </c>
      <c r="G223" s="4">
        <f t="shared" si="11"/>
        <v>103353.66755343354</v>
      </c>
    </row>
    <row r="224" spans="1:7" x14ac:dyDescent="0.25">
      <c r="A224">
        <v>221</v>
      </c>
      <c r="B224" s="4">
        <f>-PPMT('Owner Occupier'!$D$41/12,'FHA Amotization'!$A224,360,'Owner Occupier'!$D$40,0,0)</f>
        <v>1435.3407769575495</v>
      </c>
      <c r="C224" s="4">
        <f>-IPMT('Owner Occupier'!$D$41/12,'FHA Amotization'!$A224,360,'Owner Occupier'!$D$40,0,0)</f>
        <v>919.23284550580138</v>
      </c>
      <c r="D224" s="4">
        <f t="shared" si="9"/>
        <v>2354.5736224633511</v>
      </c>
      <c r="E224" s="3">
        <f t="shared" si="10"/>
        <v>258112.75677762163</v>
      </c>
      <c r="F224" s="4">
        <f>('Owner Occupier'!$H$24-'Owner Occupier'!$D$52)/('Owner Occupier'!$D$56-'Owner Occupier'!$D$52)*B224</f>
        <v>677.13259212776711</v>
      </c>
      <c r="G224" s="4">
        <f t="shared" si="11"/>
        <v>104030.8001455613</v>
      </c>
    </row>
    <row r="225" spans="1:7" x14ac:dyDescent="0.25">
      <c r="A225">
        <v>222</v>
      </c>
      <c r="B225" s="4">
        <f>-PPMT('Owner Occupier'!$D$41/12,'FHA Amotization'!$A225,360,'Owner Occupier'!$D$40,0,0)</f>
        <v>1440.4242755426076</v>
      </c>
      <c r="C225" s="4">
        <f>-IPMT('Owner Occupier'!$D$41/12,'FHA Amotization'!$A225,360,'Owner Occupier'!$D$40,0,0)</f>
        <v>914.14934692074348</v>
      </c>
      <c r="D225" s="4">
        <f t="shared" si="9"/>
        <v>2354.5736224633511</v>
      </c>
      <c r="E225" s="3">
        <f t="shared" si="10"/>
        <v>256672.33250207902</v>
      </c>
      <c r="F225" s="4">
        <f>('Owner Occupier'!$H$24-'Owner Occupier'!$D$52)/('Owner Occupier'!$D$56-'Owner Occupier'!$D$52)*B225</f>
        <v>679.53077005821967</v>
      </c>
      <c r="G225" s="4">
        <f t="shared" si="11"/>
        <v>104710.33091561952</v>
      </c>
    </row>
    <row r="226" spans="1:7" x14ac:dyDescent="0.25">
      <c r="A226">
        <v>223</v>
      </c>
      <c r="B226" s="4">
        <f>-PPMT('Owner Occupier'!$D$41/12,'FHA Amotization'!$A226,360,'Owner Occupier'!$D$40,0,0)</f>
        <v>1445.5257781851544</v>
      </c>
      <c r="C226" s="4">
        <f>-IPMT('Owner Occupier'!$D$41/12,'FHA Amotization'!$A226,360,'Owner Occupier'!$D$40,0,0)</f>
        <v>909.04784427819686</v>
      </c>
      <c r="D226" s="4">
        <f t="shared" si="9"/>
        <v>2354.5736224633511</v>
      </c>
      <c r="E226" s="3">
        <f t="shared" si="10"/>
        <v>255226.80672389385</v>
      </c>
      <c r="F226" s="4">
        <f>('Owner Occupier'!$H$24-'Owner Occupier'!$D$52)/('Owner Occupier'!$D$56-'Owner Occupier'!$D$52)*B226</f>
        <v>681.93744153550927</v>
      </c>
      <c r="G226" s="4">
        <f t="shared" si="11"/>
        <v>105392.26835715503</v>
      </c>
    </row>
    <row r="227" spans="1:7" x14ac:dyDescent="0.25">
      <c r="A227">
        <v>224</v>
      </c>
      <c r="B227" s="4">
        <f>-PPMT('Owner Occupier'!$D$41/12,'FHA Amotization'!$A227,360,'Owner Occupier'!$D$40,0,0)</f>
        <v>1450.6453486495602</v>
      </c>
      <c r="C227" s="4">
        <f>-IPMT('Owner Occupier'!$D$41/12,'FHA Amotization'!$A227,360,'Owner Occupier'!$D$40,0,0)</f>
        <v>903.92827381379095</v>
      </c>
      <c r="D227" s="4">
        <f t="shared" si="9"/>
        <v>2354.5736224633511</v>
      </c>
      <c r="E227" s="3">
        <f t="shared" si="10"/>
        <v>253776.16137524429</v>
      </c>
      <c r="F227" s="4">
        <f>('Owner Occupier'!$H$24-'Owner Occupier'!$D$52)/('Owner Occupier'!$D$56-'Owner Occupier'!$D$52)*B227</f>
        <v>684.35263664094748</v>
      </c>
      <c r="G227" s="4">
        <f t="shared" si="11"/>
        <v>106076.62099379598</v>
      </c>
    </row>
    <row r="228" spans="1:7" x14ac:dyDescent="0.25">
      <c r="A228">
        <v>225</v>
      </c>
      <c r="B228" s="4">
        <f>-PPMT('Owner Occupier'!$D$41/12,'FHA Amotization'!$A228,360,'Owner Occupier'!$D$40,0,0)</f>
        <v>1455.7830509260273</v>
      </c>
      <c r="C228" s="4">
        <f>-IPMT('Owner Occupier'!$D$41/12,'FHA Amotization'!$A228,360,'Owner Occupier'!$D$40,0,0)</f>
        <v>898.79057153732379</v>
      </c>
      <c r="D228" s="4">
        <f t="shared" si="9"/>
        <v>2354.5736224633511</v>
      </c>
      <c r="E228" s="3">
        <f t="shared" si="10"/>
        <v>252320.37832431827</v>
      </c>
      <c r="F228" s="4">
        <f>('Owner Occupier'!$H$24-'Owner Occupier'!$D$52)/('Owner Occupier'!$D$56-'Owner Occupier'!$D$52)*B228</f>
        <v>686.77638556238412</v>
      </c>
      <c r="G228" s="4">
        <f t="shared" si="11"/>
        <v>106763.39737935836</v>
      </c>
    </row>
    <row r="229" spans="1:7" x14ac:dyDescent="0.25">
      <c r="A229">
        <v>226</v>
      </c>
      <c r="B229" s="4">
        <f>-PPMT('Owner Occupier'!$D$41/12,'FHA Amotization'!$A229,360,'Owner Occupier'!$D$40,0,0)</f>
        <v>1460.9389492313903</v>
      </c>
      <c r="C229" s="4">
        <f>-IPMT('Owner Occupier'!$D$41/12,'FHA Amotization'!$A229,360,'Owner Occupier'!$D$40,0,0)</f>
        <v>893.63467323196085</v>
      </c>
      <c r="D229" s="4">
        <f t="shared" si="9"/>
        <v>2354.5736224633511</v>
      </c>
      <c r="E229" s="3">
        <f t="shared" si="10"/>
        <v>250859.43937508689</v>
      </c>
      <c r="F229" s="4">
        <f>('Owner Occupier'!$H$24-'Owner Occupier'!$D$52)/('Owner Occupier'!$D$56-'Owner Occupier'!$D$52)*B229</f>
        <v>689.2087185945843</v>
      </c>
      <c r="G229" s="4">
        <f t="shared" si="11"/>
        <v>107452.60609795294</v>
      </c>
    </row>
    <row r="230" spans="1:7" x14ac:dyDescent="0.25">
      <c r="A230">
        <v>227</v>
      </c>
      <c r="B230" s="4">
        <f>-PPMT('Owner Occupier'!$D$41/12,'FHA Amotization'!$A230,360,'Owner Occupier'!$D$40,0,0)</f>
        <v>1466.1131080099185</v>
      </c>
      <c r="C230" s="4">
        <f>-IPMT('Owner Occupier'!$D$41/12,'FHA Amotization'!$A230,360,'Owner Occupier'!$D$40,0,0)</f>
        <v>888.46051445343289</v>
      </c>
      <c r="D230" s="4">
        <f t="shared" si="9"/>
        <v>2354.5736224633515</v>
      </c>
      <c r="E230" s="3">
        <f t="shared" si="10"/>
        <v>249393.32626707698</v>
      </c>
      <c r="F230" s="4">
        <f>('Owner Occupier'!$H$24-'Owner Occupier'!$D$52)/('Owner Occupier'!$D$56-'Owner Occupier'!$D$52)*B230</f>
        <v>691.64966613960689</v>
      </c>
      <c r="G230" s="4">
        <f t="shared" si="11"/>
        <v>108144.25576409255</v>
      </c>
    </row>
    <row r="231" spans="1:7" x14ac:dyDescent="0.25">
      <c r="A231">
        <v>228</v>
      </c>
      <c r="B231" s="4">
        <f>-PPMT('Owner Occupier'!$D$41/12,'FHA Amotization'!$A231,360,'Owner Occupier'!$D$40,0,0)</f>
        <v>1471.30559193412</v>
      </c>
      <c r="C231" s="4">
        <f>-IPMT('Owner Occupier'!$D$41/12,'FHA Amotization'!$A231,360,'Owner Occupier'!$D$40,0,0)</f>
        <v>883.26803052923117</v>
      </c>
      <c r="D231" s="4">
        <f t="shared" si="9"/>
        <v>2354.5736224633511</v>
      </c>
      <c r="E231" s="3">
        <f t="shared" si="10"/>
        <v>247922.02067514285</v>
      </c>
      <c r="F231" s="4">
        <f>('Owner Occupier'!$H$24-'Owner Occupier'!$D$52)/('Owner Occupier'!$D$56-'Owner Occupier'!$D$52)*B231</f>
        <v>694.0992587071845</v>
      </c>
      <c r="G231" s="4">
        <f t="shared" si="11"/>
        <v>108838.35502279973</v>
      </c>
    </row>
    <row r="232" spans="1:7" x14ac:dyDescent="0.25">
      <c r="A232">
        <v>229</v>
      </c>
      <c r="B232" s="4">
        <f>-PPMT('Owner Occupier'!$D$41/12,'FHA Amotization'!$A232,360,'Owner Occupier'!$D$40,0,0)</f>
        <v>1476.5164659055533</v>
      </c>
      <c r="C232" s="4">
        <f>-IPMT('Owner Occupier'!$D$41/12,'FHA Amotization'!$A232,360,'Owner Occupier'!$D$40,0,0)</f>
        <v>878.05715655779773</v>
      </c>
      <c r="D232" s="4">
        <f t="shared" si="9"/>
        <v>2354.5736224633511</v>
      </c>
      <c r="E232" s="3">
        <f t="shared" si="10"/>
        <v>246445.50420923729</v>
      </c>
      <c r="F232" s="4">
        <f>('Owner Occupier'!$H$24-'Owner Occupier'!$D$52)/('Owner Occupier'!$D$56-'Owner Occupier'!$D$52)*B232</f>
        <v>696.55752691510577</v>
      </c>
      <c r="G232" s="4">
        <f t="shared" si="11"/>
        <v>109534.91254971483</v>
      </c>
    </row>
    <row r="233" spans="1:7" x14ac:dyDescent="0.25">
      <c r="A233">
        <v>230</v>
      </c>
      <c r="B233" s="4">
        <f>-PPMT('Owner Occupier'!$D$41/12,'FHA Amotization'!$A233,360,'Owner Occupier'!$D$40,0,0)</f>
        <v>1481.7457950556357</v>
      </c>
      <c r="C233" s="4">
        <f>-IPMT('Owner Occupier'!$D$41/12,'FHA Amotization'!$A233,360,'Owner Occupier'!$D$40,0,0)</f>
        <v>872.82782740771552</v>
      </c>
      <c r="D233" s="4">
        <f t="shared" si="9"/>
        <v>2354.5736224633511</v>
      </c>
      <c r="E233" s="3">
        <f t="shared" si="10"/>
        <v>244963.75841418165</v>
      </c>
      <c r="F233" s="4">
        <f>('Owner Occupier'!$H$24-'Owner Occupier'!$D$52)/('Owner Occupier'!$D$56-'Owner Occupier'!$D$52)*B233</f>
        <v>699.0245014895969</v>
      </c>
      <c r="G233" s="4">
        <f t="shared" si="11"/>
        <v>110233.93705120443</v>
      </c>
    </row>
    <row r="234" spans="1:7" x14ac:dyDescent="0.25">
      <c r="A234">
        <v>231</v>
      </c>
      <c r="B234" s="4">
        <f>-PPMT('Owner Occupier'!$D$41/12,'FHA Amotization'!$A234,360,'Owner Occupier'!$D$40,0,0)</f>
        <v>1486.9936447464577</v>
      </c>
      <c r="C234" s="4">
        <f>-IPMT('Owner Occupier'!$D$41/12,'FHA Amotization'!$A234,360,'Owner Occupier'!$D$40,0,0)</f>
        <v>867.5799777168935</v>
      </c>
      <c r="D234" s="4">
        <f t="shared" si="9"/>
        <v>2354.5736224633511</v>
      </c>
      <c r="E234" s="3">
        <f t="shared" si="10"/>
        <v>243476.76476943519</v>
      </c>
      <c r="F234" s="4">
        <f>('Owner Occupier'!$H$24-'Owner Occupier'!$D$52)/('Owner Occupier'!$D$56-'Owner Occupier'!$D$52)*B234</f>
        <v>701.50021326570584</v>
      </c>
      <c r="G234" s="4">
        <f t="shared" si="11"/>
        <v>110935.43726447014</v>
      </c>
    </row>
    <row r="235" spans="1:7" x14ac:dyDescent="0.25">
      <c r="A235">
        <v>232</v>
      </c>
      <c r="B235" s="4">
        <f>-PPMT('Owner Occupier'!$D$41/12,'FHA Amotization'!$A235,360,'Owner Occupier'!$D$40,0,0)</f>
        <v>1492.2600805716013</v>
      </c>
      <c r="C235" s="4">
        <f>-IPMT('Owner Occupier'!$D$41/12,'FHA Amotization'!$A235,360,'Owner Occupier'!$D$40,0,0)</f>
        <v>862.31354189174988</v>
      </c>
      <c r="D235" s="4">
        <f t="shared" si="9"/>
        <v>2354.5736224633511</v>
      </c>
      <c r="E235" s="3">
        <f t="shared" si="10"/>
        <v>241984.50468886358</v>
      </c>
      <c r="F235" s="4">
        <f>('Owner Occupier'!$H$24-'Owner Occupier'!$D$52)/('Owner Occupier'!$D$56-'Owner Occupier'!$D$52)*B235</f>
        <v>703.98469318768855</v>
      </c>
      <c r="G235" s="4">
        <f t="shared" si="11"/>
        <v>111639.42195765782</v>
      </c>
    </row>
    <row r="236" spans="1:7" x14ac:dyDescent="0.25">
      <c r="A236">
        <v>233</v>
      </c>
      <c r="B236" s="4">
        <f>-PPMT('Owner Occupier'!$D$41/12,'FHA Amotization'!$A236,360,'Owner Occupier'!$D$40,0,0)</f>
        <v>1497.5451683569593</v>
      </c>
      <c r="C236" s="4">
        <f>-IPMT('Owner Occupier'!$D$41/12,'FHA Amotization'!$A236,360,'Owner Occupier'!$D$40,0,0)</f>
        <v>857.02845410639213</v>
      </c>
      <c r="D236" s="4">
        <f t="shared" si="9"/>
        <v>2354.5736224633515</v>
      </c>
      <c r="E236" s="3">
        <f t="shared" si="10"/>
        <v>240486.95952050661</v>
      </c>
      <c r="F236" s="4">
        <f>('Owner Occupier'!$H$24-'Owner Occupier'!$D$52)/('Owner Occupier'!$D$56-'Owner Occupier'!$D$52)*B236</f>
        <v>706.477972309395</v>
      </c>
      <c r="G236" s="4">
        <f t="shared" si="11"/>
        <v>112345.89992996721</v>
      </c>
    </row>
    <row r="237" spans="1:7" x14ac:dyDescent="0.25">
      <c r="A237">
        <v>234</v>
      </c>
      <c r="B237" s="4">
        <f>-PPMT('Owner Occupier'!$D$41/12,'FHA Amotization'!$A237,360,'Owner Occupier'!$D$40,0,0)</f>
        <v>1502.8489741615565</v>
      </c>
      <c r="C237" s="4">
        <f>-IPMT('Owner Occupier'!$D$41/12,'FHA Amotization'!$A237,360,'Owner Occupier'!$D$40,0,0)</f>
        <v>851.72464830179456</v>
      </c>
      <c r="D237" s="4">
        <f t="shared" si="9"/>
        <v>2354.5736224633511</v>
      </c>
      <c r="E237" s="3">
        <f t="shared" si="10"/>
        <v>238984.11054634507</v>
      </c>
      <c r="F237" s="4">
        <f>('Owner Occupier'!$H$24-'Owner Occupier'!$D$52)/('Owner Occupier'!$D$56-'Owner Occupier'!$D$52)*B237</f>
        <v>708.98008179465728</v>
      </c>
      <c r="G237" s="4">
        <f t="shared" si="11"/>
        <v>113054.88001176187</v>
      </c>
    </row>
    <row r="238" spans="1:7" x14ac:dyDescent="0.25">
      <c r="A238">
        <v>235</v>
      </c>
      <c r="B238" s="4">
        <f>-PPMT('Owner Occupier'!$D$41/12,'FHA Amotization'!$A238,360,'Owner Occupier'!$D$40,0,0)</f>
        <v>1508.1715642783788</v>
      </c>
      <c r="C238" s="4">
        <f>-IPMT('Owner Occupier'!$D$41/12,'FHA Amotization'!$A238,360,'Owner Occupier'!$D$40,0,0)</f>
        <v>846.40205818497236</v>
      </c>
      <c r="D238" s="4">
        <f t="shared" si="9"/>
        <v>2354.5736224633511</v>
      </c>
      <c r="E238" s="3">
        <f t="shared" si="10"/>
        <v>237475.9389820667</v>
      </c>
      <c r="F238" s="4">
        <f>('Owner Occupier'!$H$24-'Owner Occupier'!$D$52)/('Owner Occupier'!$D$56-'Owner Occupier'!$D$52)*B238</f>
        <v>711.49105291768012</v>
      </c>
      <c r="G238" s="4">
        <f t="shared" si="11"/>
        <v>113766.37106467955</v>
      </c>
    </row>
    <row r="239" spans="1:7" x14ac:dyDescent="0.25">
      <c r="A239">
        <v>236</v>
      </c>
      <c r="B239" s="4">
        <f>-PPMT('Owner Occupier'!$D$41/12,'FHA Amotization'!$A239,360,'Owner Occupier'!$D$40,0,0)</f>
        <v>1513.5130052351981</v>
      </c>
      <c r="C239" s="4">
        <f>-IPMT('Owner Occupier'!$D$41/12,'FHA Amotization'!$A239,360,'Owner Occupier'!$D$40,0,0)</f>
        <v>841.06061722815309</v>
      </c>
      <c r="D239" s="4">
        <f t="shared" si="9"/>
        <v>2354.5736224633511</v>
      </c>
      <c r="E239" s="3">
        <f t="shared" si="10"/>
        <v>235962.4259768315</v>
      </c>
      <c r="F239" s="4">
        <f>('Owner Occupier'!$H$24-'Owner Occupier'!$D$52)/('Owner Occupier'!$D$56-'Owner Occupier'!$D$52)*B239</f>
        <v>714.01091706343027</v>
      </c>
      <c r="G239" s="4">
        <f t="shared" si="11"/>
        <v>114480.38198174298</v>
      </c>
    </row>
    <row r="240" spans="1:7" x14ac:dyDescent="0.25">
      <c r="A240">
        <v>237</v>
      </c>
      <c r="B240" s="4">
        <f>-PPMT('Owner Occupier'!$D$41/12,'FHA Amotization'!$A240,360,'Owner Occupier'!$D$40,0,0)</f>
        <v>1518.8733637954058</v>
      </c>
      <c r="C240" s="4">
        <f>-IPMT('Owner Occupier'!$D$41/12,'FHA Amotization'!$A240,360,'Owner Occupier'!$D$40,0,0)</f>
        <v>835.70025866794504</v>
      </c>
      <c r="D240" s="4">
        <f t="shared" si="9"/>
        <v>2354.5736224633511</v>
      </c>
      <c r="E240" s="3">
        <f t="shared" si="10"/>
        <v>234443.5526130361</v>
      </c>
      <c r="F240" s="4">
        <f>('Owner Occupier'!$H$24-'Owner Occupier'!$D$52)/('Owner Occupier'!$D$56-'Owner Occupier'!$D$52)*B240</f>
        <v>716.53970572802973</v>
      </c>
      <c r="G240" s="4">
        <f t="shared" si="11"/>
        <v>115196.92168747101</v>
      </c>
    </row>
    <row r="241" spans="1:7" x14ac:dyDescent="0.25">
      <c r="A241">
        <v>238</v>
      </c>
      <c r="B241" s="4">
        <f>-PPMT('Owner Occupier'!$D$41/12,'FHA Amotization'!$A241,360,'Owner Occupier'!$D$40,0,0)</f>
        <v>1524.252706958848</v>
      </c>
      <c r="C241" s="4">
        <f>-IPMT('Owner Occupier'!$D$41/12,'FHA Amotization'!$A241,360,'Owner Occupier'!$D$40,0,0)</f>
        <v>830.32091550450298</v>
      </c>
      <c r="D241" s="4">
        <f t="shared" si="9"/>
        <v>2354.5736224633511</v>
      </c>
      <c r="E241" s="3">
        <f t="shared" si="10"/>
        <v>232919.29990607724</v>
      </c>
      <c r="F241" s="4">
        <f>('Owner Occupier'!$H$24-'Owner Occupier'!$D$52)/('Owner Occupier'!$D$56-'Owner Occupier'!$D$52)*B241</f>
        <v>719.07745051914992</v>
      </c>
      <c r="G241" s="4">
        <f t="shared" si="11"/>
        <v>115915.99913799016</v>
      </c>
    </row>
    <row r="242" spans="1:7" x14ac:dyDescent="0.25">
      <c r="A242">
        <v>239</v>
      </c>
      <c r="B242" s="4">
        <f>-PPMT('Owner Occupier'!$D$41/12,'FHA Amotization'!$A242,360,'Owner Occupier'!$D$40,0,0)</f>
        <v>1529.6511019626605</v>
      </c>
      <c r="C242" s="4">
        <f>-IPMT('Owner Occupier'!$D$41/12,'FHA Amotization'!$A242,360,'Owner Occupier'!$D$40,0,0)</f>
        <v>824.92252050069055</v>
      </c>
      <c r="D242" s="4">
        <f t="shared" si="9"/>
        <v>2354.5736224633511</v>
      </c>
      <c r="E242" s="3">
        <f t="shared" si="10"/>
        <v>231389.64880411458</v>
      </c>
      <c r="F242" s="4">
        <f>('Owner Occupier'!$H$24-'Owner Occupier'!$D$52)/('Owner Occupier'!$D$56-'Owner Occupier'!$D$52)*B242</f>
        <v>721.62418315640525</v>
      </c>
      <c r="G242" s="4">
        <f t="shared" si="11"/>
        <v>116637.62332114657</v>
      </c>
    </row>
    <row r="243" spans="1:7" x14ac:dyDescent="0.25">
      <c r="A243">
        <v>240</v>
      </c>
      <c r="B243" s="4">
        <f>-PPMT('Owner Occupier'!$D$41/12,'FHA Amotization'!$A243,360,'Owner Occupier'!$D$40,0,0)</f>
        <v>1535.0686162821119</v>
      </c>
      <c r="C243" s="4">
        <f>-IPMT('Owner Occupier'!$D$41/12,'FHA Amotization'!$A243,360,'Owner Occupier'!$D$40,0,0)</f>
        <v>819.50500618123942</v>
      </c>
      <c r="D243" s="4">
        <f t="shared" si="9"/>
        <v>2354.5736224633511</v>
      </c>
      <c r="E243" s="3">
        <f t="shared" si="10"/>
        <v>229854.58018783247</v>
      </c>
      <c r="F243" s="4">
        <f>('Owner Occupier'!$H$24-'Owner Occupier'!$D$52)/('Owner Occupier'!$D$56-'Owner Occupier'!$D$52)*B243</f>
        <v>724.17993547175092</v>
      </c>
      <c r="G243" s="4">
        <f t="shared" si="11"/>
        <v>117361.80325661832</v>
      </c>
    </row>
    <row r="244" spans="1:7" x14ac:dyDescent="0.25">
      <c r="A244">
        <v>241</v>
      </c>
      <c r="B244" s="4">
        <f>-PPMT('Owner Occupier'!$D$41/12,'FHA Amotization'!$A244,360,'Owner Occupier'!$D$40,0,0)</f>
        <v>1540.5053176314441</v>
      </c>
      <c r="C244" s="4">
        <f>-IPMT('Owner Occupier'!$D$41/12,'FHA Amotization'!$A244,360,'Owner Occupier'!$D$40,0,0)</f>
        <v>814.06830483190686</v>
      </c>
      <c r="D244" s="4">
        <f t="shared" si="9"/>
        <v>2354.5736224633511</v>
      </c>
      <c r="E244" s="3">
        <f t="shared" si="10"/>
        <v>228314.07487020103</v>
      </c>
      <c r="F244" s="4">
        <f>('Owner Occupier'!$H$24-'Owner Occupier'!$D$52)/('Owner Occupier'!$D$56-'Owner Occupier'!$D$52)*B244</f>
        <v>726.74473940987991</v>
      </c>
      <c r="G244" s="4">
        <f t="shared" si="11"/>
        <v>118088.54799602821</v>
      </c>
    </row>
    <row r="245" spans="1:7" x14ac:dyDescent="0.25">
      <c r="A245">
        <v>242</v>
      </c>
      <c r="B245" s="4">
        <f>-PPMT('Owner Occupier'!$D$41/12,'FHA Amotization'!$A245,360,'Owner Occupier'!$D$40,0,0)</f>
        <v>1545.9612739647223</v>
      </c>
      <c r="C245" s="4">
        <f>-IPMT('Owner Occupier'!$D$41/12,'FHA Amotization'!$A245,360,'Owner Occupier'!$D$40,0,0)</f>
        <v>808.61234849862888</v>
      </c>
      <c r="D245" s="4">
        <f t="shared" si="9"/>
        <v>2354.5736224633511</v>
      </c>
      <c r="E245" s="3">
        <f t="shared" si="10"/>
        <v>226768.1135962363</v>
      </c>
      <c r="F245" s="4">
        <f>('Owner Occupier'!$H$24-'Owner Occupier'!$D$52)/('Owner Occupier'!$D$56-'Owner Occupier'!$D$52)*B245</f>
        <v>729.31862702862338</v>
      </c>
      <c r="G245" s="4">
        <f t="shared" si="11"/>
        <v>118817.86662305683</v>
      </c>
    </row>
    <row r="246" spans="1:7" x14ac:dyDescent="0.25">
      <c r="A246">
        <v>243</v>
      </c>
      <c r="B246" s="4">
        <f>-PPMT('Owner Occupier'!$D$41/12,'FHA Amotization'!$A246,360,'Owner Occupier'!$D$40,0,0)</f>
        <v>1551.4365534766805</v>
      </c>
      <c r="C246" s="4">
        <f>-IPMT('Owner Occupier'!$D$41/12,'FHA Amotization'!$A246,360,'Owner Occupier'!$D$40,0,0)</f>
        <v>803.13706898667056</v>
      </c>
      <c r="D246" s="4">
        <f t="shared" si="9"/>
        <v>2354.5736224633511</v>
      </c>
      <c r="E246" s="3">
        <f t="shared" si="10"/>
        <v>225216.67704275963</v>
      </c>
      <c r="F246" s="4">
        <f>('Owner Occupier'!$H$24-'Owner Occupier'!$D$52)/('Owner Occupier'!$D$56-'Owner Occupier'!$D$52)*B246</f>
        <v>731.90163049934961</v>
      </c>
      <c r="G246" s="4">
        <f t="shared" si="11"/>
        <v>119549.76825355619</v>
      </c>
    </row>
    <row r="247" spans="1:7" x14ac:dyDescent="0.25">
      <c r="A247">
        <v>244</v>
      </c>
      <c r="B247" s="4">
        <f>-PPMT('Owner Occupier'!$D$41/12,'FHA Amotization'!$A247,360,'Owner Occupier'!$D$40,0,0)</f>
        <v>1556.931224603577</v>
      </c>
      <c r="C247" s="4">
        <f>-IPMT('Owner Occupier'!$D$41/12,'FHA Amotization'!$A247,360,'Owner Occupier'!$D$40,0,0)</f>
        <v>797.64239785977384</v>
      </c>
      <c r="D247" s="4">
        <f t="shared" si="9"/>
        <v>2354.5736224633511</v>
      </c>
      <c r="E247" s="3">
        <f t="shared" si="10"/>
        <v>223659.74581815605</v>
      </c>
      <c r="F247" s="4">
        <f>('Owner Occupier'!$H$24-'Owner Occupier'!$D$52)/('Owner Occupier'!$D$56-'Owner Occupier'!$D$52)*B247</f>
        <v>734.49378210736813</v>
      </c>
      <c r="G247" s="4">
        <f t="shared" si="11"/>
        <v>120284.26203566356</v>
      </c>
    </row>
    <row r="248" spans="1:7" x14ac:dyDescent="0.25">
      <c r="A248">
        <v>245</v>
      </c>
      <c r="B248" s="4">
        <f>-PPMT('Owner Occupier'!$D$41/12,'FHA Amotization'!$A248,360,'Owner Occupier'!$D$40,0,0)</f>
        <v>1562.4453560240481</v>
      </c>
      <c r="C248" s="4">
        <f>-IPMT('Owner Occupier'!$D$41/12,'FHA Amotization'!$A248,360,'Owner Occupier'!$D$40,0,0)</f>
        <v>792.12826643930293</v>
      </c>
      <c r="D248" s="4">
        <f t="shared" si="9"/>
        <v>2354.5736224633511</v>
      </c>
      <c r="E248" s="3">
        <f t="shared" si="10"/>
        <v>222097.300462132</v>
      </c>
      <c r="F248" s="4">
        <f>('Owner Occupier'!$H$24-'Owner Occupier'!$D$52)/('Owner Occupier'!$D$56-'Owner Occupier'!$D$52)*B248</f>
        <v>737.09511425233177</v>
      </c>
      <c r="G248" s="4">
        <f t="shared" si="11"/>
        <v>121021.35714991589</v>
      </c>
    </row>
    <row r="249" spans="1:7" x14ac:dyDescent="0.25">
      <c r="A249">
        <v>246</v>
      </c>
      <c r="B249" s="4">
        <f>-PPMT('Owner Occupier'!$D$41/12,'FHA Amotization'!$A249,360,'Owner Occupier'!$D$40,0,0)</f>
        <v>1567.9790166599666</v>
      </c>
      <c r="C249" s="4">
        <f>-IPMT('Owner Occupier'!$D$41/12,'FHA Amotization'!$A249,360,'Owner Occupier'!$D$40,0,0)</f>
        <v>786.59460580338441</v>
      </c>
      <c r="D249" s="4">
        <f t="shared" si="9"/>
        <v>2354.5736224633511</v>
      </c>
      <c r="E249" s="3">
        <f t="shared" si="10"/>
        <v>220529.32144547204</v>
      </c>
      <c r="F249" s="4">
        <f>('Owner Occupier'!$H$24-'Owner Occupier'!$D$52)/('Owner Occupier'!$D$56-'Owner Occupier'!$D$52)*B249</f>
        <v>739.70565944864211</v>
      </c>
      <c r="G249" s="4">
        <f t="shared" si="11"/>
        <v>121761.06280936452</v>
      </c>
    </row>
    <row r="250" spans="1:7" x14ac:dyDescent="0.25">
      <c r="A250">
        <v>247</v>
      </c>
      <c r="B250" s="4">
        <f>-PPMT('Owner Occupier'!$D$41/12,'FHA Amotization'!$A250,360,'Owner Occupier'!$D$40,0,0)</f>
        <v>1573.5322756773041</v>
      </c>
      <c r="C250" s="4">
        <f>-IPMT('Owner Occupier'!$D$41/12,'FHA Amotization'!$A250,360,'Owner Occupier'!$D$40,0,0)</f>
        <v>781.04134678604703</v>
      </c>
      <c r="D250" s="4">
        <f t="shared" si="9"/>
        <v>2354.5736224633511</v>
      </c>
      <c r="E250" s="3">
        <f t="shared" si="10"/>
        <v>218955.78916979473</v>
      </c>
      <c r="F250" s="4">
        <f>('Owner Occupier'!$H$24-'Owner Occupier'!$D$52)/('Owner Occupier'!$D$56-'Owner Occupier'!$D$52)*B250</f>
        <v>742.32545032585608</v>
      </c>
      <c r="G250" s="4">
        <f t="shared" si="11"/>
        <v>122503.38825969037</v>
      </c>
    </row>
    <row r="251" spans="1:7" x14ac:dyDescent="0.25">
      <c r="A251">
        <v>248</v>
      </c>
      <c r="B251" s="4">
        <f>-PPMT('Owner Occupier'!$D$41/12,'FHA Amotization'!$A251,360,'Owner Occupier'!$D$40,0,0)</f>
        <v>1579.1052024869946</v>
      </c>
      <c r="C251" s="4">
        <f>-IPMT('Owner Occupier'!$D$41/12,'FHA Amotization'!$A251,360,'Owner Occupier'!$D$40,0,0)</f>
        <v>775.46841997635659</v>
      </c>
      <c r="D251" s="4">
        <f t="shared" si="9"/>
        <v>2354.5736224633511</v>
      </c>
      <c r="E251" s="3">
        <f t="shared" si="10"/>
        <v>217376.68396730773</v>
      </c>
      <c r="F251" s="4">
        <f>('Owner Occupier'!$H$24-'Owner Occupier'!$D$52)/('Owner Occupier'!$D$56-'Owner Occupier'!$D$52)*B251</f>
        <v>744.95451962909351</v>
      </c>
      <c r="G251" s="4">
        <f t="shared" si="11"/>
        <v>123248.34277931947</v>
      </c>
    </row>
    <row r="252" spans="1:7" x14ac:dyDescent="0.25">
      <c r="A252">
        <v>249</v>
      </c>
      <c r="B252" s="4">
        <f>-PPMT('Owner Occupier'!$D$41/12,'FHA Amotization'!$A252,360,'Owner Occupier'!$D$40,0,0)</f>
        <v>1584.6978667458029</v>
      </c>
      <c r="C252" s="4">
        <f>-IPMT('Owner Occupier'!$D$41/12,'FHA Amotization'!$A252,360,'Owner Occupier'!$D$40,0,0)</f>
        <v>769.87575571754849</v>
      </c>
      <c r="D252" s="4">
        <f t="shared" si="9"/>
        <v>2354.5736224633515</v>
      </c>
      <c r="E252" s="3">
        <f t="shared" si="10"/>
        <v>215791.98610056192</v>
      </c>
      <c r="F252" s="4">
        <f>('Owner Occupier'!$H$24-'Owner Occupier'!$D$52)/('Owner Occupier'!$D$56-'Owner Occupier'!$D$52)*B252</f>
        <v>747.59290021944662</v>
      </c>
      <c r="G252" s="4">
        <f t="shared" si="11"/>
        <v>123995.93567953892</v>
      </c>
    </row>
    <row r="253" spans="1:7" x14ac:dyDescent="0.25">
      <c r="A253">
        <v>250</v>
      </c>
      <c r="B253" s="4">
        <f>-PPMT('Owner Occupier'!$D$41/12,'FHA Amotization'!$A253,360,'Owner Occupier'!$D$40,0,0)</f>
        <v>1590.310338357194</v>
      </c>
      <c r="C253" s="4">
        <f>-IPMT('Owner Occupier'!$D$41/12,'FHA Amotization'!$A253,360,'Owner Occupier'!$D$40,0,0)</f>
        <v>764.26328410615713</v>
      </c>
      <c r="D253" s="4">
        <f t="shared" si="9"/>
        <v>2354.5736224633511</v>
      </c>
      <c r="E253" s="3">
        <f t="shared" si="10"/>
        <v>214201.67576220472</v>
      </c>
      <c r="F253" s="4">
        <f>('Owner Occupier'!$H$24-'Owner Occupier'!$D$52)/('Owner Occupier'!$D$56-'Owner Occupier'!$D$52)*B253</f>
        <v>750.24062507439044</v>
      </c>
      <c r="G253" s="4">
        <f t="shared" si="11"/>
        <v>124746.17630461331</v>
      </c>
    </row>
    <row r="254" spans="1:7" x14ac:dyDescent="0.25">
      <c r="A254">
        <v>251</v>
      </c>
      <c r="B254" s="4">
        <f>-PPMT('Owner Occupier'!$D$41/12,'FHA Amotization'!$A254,360,'Owner Occupier'!$D$40,0,0)</f>
        <v>1595.9426874722092</v>
      </c>
      <c r="C254" s="4">
        <f>-IPMT('Owner Occupier'!$D$41/12,'FHA Amotization'!$A254,360,'Owner Occupier'!$D$40,0,0)</f>
        <v>758.63093499114211</v>
      </c>
      <c r="D254" s="4">
        <f t="shared" si="9"/>
        <v>2354.5736224633511</v>
      </c>
      <c r="E254" s="3">
        <f t="shared" si="10"/>
        <v>212605.7330747325</v>
      </c>
      <c r="F254" s="4">
        <f>('Owner Occupier'!$H$24-'Owner Occupier'!$D$52)/('Owner Occupier'!$D$56-'Owner Occupier'!$D$52)*B254</f>
        <v>752.8977272881956</v>
      </c>
      <c r="G254" s="4">
        <f t="shared" si="11"/>
        <v>125499.0740319015</v>
      </c>
    </row>
    <row r="255" spans="1:7" x14ac:dyDescent="0.25">
      <c r="A255">
        <v>252</v>
      </c>
      <c r="B255" s="4">
        <f>-PPMT('Owner Occupier'!$D$41/12,'FHA Amotization'!$A255,360,'Owner Occupier'!$D$40,0,0)</f>
        <v>1601.5949844903398</v>
      </c>
      <c r="C255" s="4">
        <f>-IPMT('Owner Occupier'!$D$41/12,'FHA Amotization'!$A255,360,'Owner Occupier'!$D$40,0,0)</f>
        <v>752.97863797301125</v>
      </c>
      <c r="D255" s="4">
        <f t="shared" si="9"/>
        <v>2354.5736224633511</v>
      </c>
      <c r="E255" s="3">
        <f t="shared" si="10"/>
        <v>211004.13809024217</v>
      </c>
      <c r="F255" s="4">
        <f>('Owner Occupier'!$H$24-'Owner Occupier'!$D$52)/('Owner Occupier'!$D$56-'Owner Occupier'!$D$52)*B255</f>
        <v>755.56424007234125</v>
      </c>
      <c r="G255" s="4">
        <f t="shared" si="11"/>
        <v>126254.63827197385</v>
      </c>
    </row>
    <row r="256" spans="1:7" x14ac:dyDescent="0.25">
      <c r="A256">
        <v>253</v>
      </c>
      <c r="B256" s="4">
        <f>-PPMT('Owner Occupier'!$D$41/12,'FHA Amotization'!$A256,360,'Owner Occupier'!$D$40,0,0)</f>
        <v>1607.2673000604098</v>
      </c>
      <c r="C256" s="4">
        <f>-IPMT('Owner Occupier'!$D$41/12,'FHA Amotization'!$A256,360,'Owner Occupier'!$D$40,0,0)</f>
        <v>747.30632240294142</v>
      </c>
      <c r="D256" s="4">
        <f t="shared" si="9"/>
        <v>2354.5736224633511</v>
      </c>
      <c r="E256" s="3">
        <f t="shared" si="10"/>
        <v>209396.87079018177</v>
      </c>
      <c r="F256" s="4">
        <f>('Owner Occupier'!$H$24-'Owner Occupier'!$D$52)/('Owner Occupier'!$D$56-'Owner Occupier'!$D$52)*B256</f>
        <v>758.24019675593081</v>
      </c>
      <c r="G256" s="4">
        <f t="shared" si="11"/>
        <v>127012.87846872977</v>
      </c>
    </row>
    <row r="257" spans="1:7" x14ac:dyDescent="0.25">
      <c r="A257">
        <v>254</v>
      </c>
      <c r="B257" s="4">
        <f>-PPMT('Owner Occupier'!$D$41/12,'FHA Amotization'!$A257,360,'Owner Occupier'!$D$40,0,0)</f>
        <v>1612.9597050814573</v>
      </c>
      <c r="C257" s="4">
        <f>-IPMT('Owner Occupier'!$D$41/12,'FHA Amotization'!$A257,360,'Owner Occupier'!$D$40,0,0)</f>
        <v>741.61391738189411</v>
      </c>
      <c r="D257" s="4">
        <f t="shared" si="9"/>
        <v>2354.5736224633515</v>
      </c>
      <c r="E257" s="3">
        <f t="shared" si="10"/>
        <v>207783.91108510032</v>
      </c>
      <c r="F257" s="4">
        <f>('Owner Occupier'!$H$24-'Owner Occupier'!$D$52)/('Owner Occupier'!$D$56-'Owner Occupier'!$D$52)*B257</f>
        <v>760.92563078610817</v>
      </c>
      <c r="G257" s="4">
        <f t="shared" si="11"/>
        <v>127773.80409951588</v>
      </c>
    </row>
    <row r="258" spans="1:7" x14ac:dyDescent="0.25">
      <c r="A258">
        <v>255</v>
      </c>
      <c r="B258" s="4">
        <f>-PPMT('Owner Occupier'!$D$41/12,'FHA Amotization'!$A258,360,'Owner Occupier'!$D$40,0,0)</f>
        <v>1618.6722707036206</v>
      </c>
      <c r="C258" s="4">
        <f>-IPMT('Owner Occupier'!$D$41/12,'FHA Amotization'!$A258,360,'Owner Occupier'!$D$40,0,0)</f>
        <v>735.90135175973046</v>
      </c>
      <c r="D258" s="4">
        <f t="shared" si="9"/>
        <v>2354.5736224633511</v>
      </c>
      <c r="E258" s="3">
        <f t="shared" si="10"/>
        <v>206165.2388143967</v>
      </c>
      <c r="F258" s="4">
        <f>('Owner Occupier'!$H$24-'Owner Occupier'!$D$52)/('Owner Occupier'!$D$56-'Owner Occupier'!$D$52)*B258</f>
        <v>763.6205757284755</v>
      </c>
      <c r="G258" s="4">
        <f t="shared" si="11"/>
        <v>128537.42467524436</v>
      </c>
    </row>
    <row r="259" spans="1:7" x14ac:dyDescent="0.25">
      <c r="A259">
        <v>256</v>
      </c>
      <c r="B259" s="4">
        <f>-PPMT('Owner Occupier'!$D$41/12,'FHA Amotization'!$A259,360,'Owner Occupier'!$D$40,0,0)</f>
        <v>1624.4050683290293</v>
      </c>
      <c r="C259" s="4">
        <f>-IPMT('Owner Occupier'!$D$41/12,'FHA Amotization'!$A259,360,'Owner Occupier'!$D$40,0,0)</f>
        <v>730.16855413432177</v>
      </c>
      <c r="D259" s="4">
        <f t="shared" si="9"/>
        <v>2354.5736224633511</v>
      </c>
      <c r="E259" s="3">
        <f t="shared" si="10"/>
        <v>204540.83374606766</v>
      </c>
      <c r="F259" s="4">
        <f>('Owner Occupier'!$H$24-'Owner Occupier'!$D$52)/('Owner Occupier'!$D$56-'Owner Occupier'!$D$52)*B259</f>
        <v>766.32506526751388</v>
      </c>
      <c r="G259" s="4">
        <f t="shared" si="11"/>
        <v>129303.74974051188</v>
      </c>
    </row>
    <row r="260" spans="1:7" x14ac:dyDescent="0.25">
      <c r="A260">
        <v>257</v>
      </c>
      <c r="B260" s="4">
        <f>-PPMT('Owner Occupier'!$D$41/12,'FHA Amotization'!$A260,360,'Owner Occupier'!$D$40,0,0)</f>
        <v>1630.1581696126948</v>
      </c>
      <c r="C260" s="4">
        <f>-IPMT('Owner Occupier'!$D$41/12,'FHA Amotization'!$A260,360,'Owner Occupier'!$D$40,0,0)</f>
        <v>724.41545285065649</v>
      </c>
      <c r="D260" s="4">
        <f t="shared" si="9"/>
        <v>2354.5736224633511</v>
      </c>
      <c r="E260" s="3">
        <f t="shared" si="10"/>
        <v>202910.67557645496</v>
      </c>
      <c r="F260" s="4">
        <f>('Owner Occupier'!$H$24-'Owner Occupier'!$D$52)/('Owner Occupier'!$D$56-'Owner Occupier'!$D$52)*B260</f>
        <v>769.03913320700315</v>
      </c>
      <c r="G260" s="4">
        <f t="shared" si="11"/>
        <v>130072.78887371888</v>
      </c>
    </row>
    <row r="261" spans="1:7" x14ac:dyDescent="0.25">
      <c r="A261">
        <v>258</v>
      </c>
      <c r="B261" s="4">
        <f>-PPMT('Owner Occupier'!$D$41/12,'FHA Amotization'!$A261,360,'Owner Occupier'!$D$40,0,0)</f>
        <v>1635.9316464634062</v>
      </c>
      <c r="C261" s="4">
        <f>-IPMT('Owner Occupier'!$D$41/12,'FHA Amotization'!$A261,360,'Owner Occupier'!$D$40,0,0)</f>
        <v>718.64197599994475</v>
      </c>
      <c r="D261" s="4">
        <f t="shared" ref="D261:D324" si="12">B261+C261</f>
        <v>2354.5736224633511</v>
      </c>
      <c r="E261" s="3">
        <f t="shared" si="10"/>
        <v>201274.74392999156</v>
      </c>
      <c r="F261" s="4">
        <f>('Owner Occupier'!$H$24-'Owner Occupier'!$D$52)/('Owner Occupier'!$D$56-'Owner Occupier'!$D$52)*B261</f>
        <v>771.76281347044448</v>
      </c>
      <c r="G261" s="4">
        <f t="shared" si="11"/>
        <v>130844.55168718932</v>
      </c>
    </row>
    <row r="262" spans="1:7" x14ac:dyDescent="0.25">
      <c r="A262">
        <v>259</v>
      </c>
      <c r="B262" s="4">
        <f>-PPMT('Owner Occupier'!$D$41/12,'FHA Amotization'!$A262,360,'Owner Occupier'!$D$40,0,0)</f>
        <v>1641.7255710446307</v>
      </c>
      <c r="C262" s="4">
        <f>-IPMT('Owner Occupier'!$D$41/12,'FHA Amotization'!$A262,360,'Owner Occupier'!$D$40,0,0)</f>
        <v>712.84805141872027</v>
      </c>
      <c r="D262" s="4">
        <f t="shared" si="12"/>
        <v>2354.5736224633511</v>
      </c>
      <c r="E262" s="3">
        <f t="shared" ref="E262:E325" si="13">E261-B262</f>
        <v>199633.01835894692</v>
      </c>
      <c r="F262" s="4">
        <f>('Owner Occupier'!$H$24-'Owner Occupier'!$D$52)/('Owner Occupier'!$D$56-'Owner Occupier'!$D$52)*B262</f>
        <v>774.49614010148559</v>
      </c>
      <c r="G262" s="4">
        <f t="shared" ref="G262:G325" si="14">F262+G261</f>
        <v>131619.04782729081</v>
      </c>
    </row>
    <row r="263" spans="1:7" x14ac:dyDescent="0.25">
      <c r="A263">
        <v>260</v>
      </c>
      <c r="B263" s="4">
        <f>-PPMT('Owner Occupier'!$D$41/12,'FHA Amotization'!$A263,360,'Owner Occupier'!$D$40,0,0)</f>
        <v>1647.5400157754138</v>
      </c>
      <c r="C263" s="4">
        <f>-IPMT('Owner Occupier'!$D$41/12,'FHA Amotization'!$A263,360,'Owner Occupier'!$D$40,0,0)</f>
        <v>707.03360668793721</v>
      </c>
      <c r="D263" s="4">
        <f t="shared" si="12"/>
        <v>2354.5736224633511</v>
      </c>
      <c r="E263" s="3">
        <f t="shared" si="13"/>
        <v>197985.4783431715</v>
      </c>
      <c r="F263" s="4">
        <f>('Owner Occupier'!$H$24-'Owner Occupier'!$D$52)/('Owner Occupier'!$D$56-'Owner Occupier'!$D$52)*B263</f>
        <v>777.23914726434509</v>
      </c>
      <c r="G263" s="4">
        <f t="shared" si="14"/>
        <v>132396.28697455514</v>
      </c>
    </row>
    <row r="264" spans="1:7" x14ac:dyDescent="0.25">
      <c r="A264">
        <v>261</v>
      </c>
      <c r="B264" s="4">
        <f>-PPMT('Owner Occupier'!$D$41/12,'FHA Amotization'!$A264,360,'Owner Occupier'!$D$40,0,0)</f>
        <v>1653.375053331285</v>
      </c>
      <c r="C264" s="4">
        <f>-IPMT('Owner Occupier'!$D$41/12,'FHA Amotization'!$A264,360,'Owner Occupier'!$D$40,0,0)</f>
        <v>701.19856913206593</v>
      </c>
      <c r="D264" s="4">
        <f t="shared" si="12"/>
        <v>2354.5736224633511</v>
      </c>
      <c r="E264" s="3">
        <f t="shared" si="13"/>
        <v>196332.10328984022</v>
      </c>
      <c r="F264" s="4">
        <f>('Owner Occupier'!$H$24-'Owner Occupier'!$D$52)/('Owner Occupier'!$D$56-'Owner Occupier'!$D$52)*B264</f>
        <v>779.99186924423952</v>
      </c>
      <c r="G264" s="4">
        <f t="shared" si="14"/>
        <v>133176.27884379937</v>
      </c>
    </row>
    <row r="265" spans="1:7" x14ac:dyDescent="0.25">
      <c r="A265">
        <v>262</v>
      </c>
      <c r="B265" s="4">
        <f>-PPMT('Owner Occupier'!$D$41/12,'FHA Amotization'!$A265,360,'Owner Occupier'!$D$40,0,0)</f>
        <v>1659.2307566451666</v>
      </c>
      <c r="C265" s="4">
        <f>-IPMT('Owner Occupier'!$D$41/12,'FHA Amotization'!$A265,360,'Owner Occupier'!$D$40,0,0)</f>
        <v>695.34286581818435</v>
      </c>
      <c r="D265" s="4">
        <f t="shared" si="12"/>
        <v>2354.5736224633511</v>
      </c>
      <c r="E265" s="3">
        <f t="shared" si="13"/>
        <v>194672.87253319504</v>
      </c>
      <c r="F265" s="4">
        <f>('Owner Occupier'!$H$24-'Owner Occupier'!$D$52)/('Owner Occupier'!$D$56-'Owner Occupier'!$D$52)*B265</f>
        <v>782.75434044781287</v>
      </c>
      <c r="G265" s="4">
        <f t="shared" si="14"/>
        <v>133959.03318424718</v>
      </c>
    </row>
    <row r="266" spans="1:7" x14ac:dyDescent="0.25">
      <c r="A266">
        <v>263</v>
      </c>
      <c r="B266" s="4">
        <f>-PPMT('Owner Occupier'!$D$41/12,'FHA Amotization'!$A266,360,'Owner Occupier'!$D$40,0,0)</f>
        <v>1665.1071989082852</v>
      </c>
      <c r="C266" s="4">
        <f>-IPMT('Owner Occupier'!$D$41/12,'FHA Amotization'!$A266,360,'Owner Occupier'!$D$40,0,0)</f>
        <v>689.46642355506617</v>
      </c>
      <c r="D266" s="4">
        <f t="shared" si="12"/>
        <v>2354.5736224633515</v>
      </c>
      <c r="E266" s="3">
        <f t="shared" si="13"/>
        <v>193007.76533428676</v>
      </c>
      <c r="F266" s="4">
        <f>('Owner Occupier'!$H$24-'Owner Occupier'!$D$52)/('Owner Occupier'!$D$56-'Owner Occupier'!$D$52)*B266</f>
        <v>785.52659540356569</v>
      </c>
      <c r="G266" s="4">
        <f t="shared" si="14"/>
        <v>134744.55977965074</v>
      </c>
    </row>
    <row r="267" spans="1:7" x14ac:dyDescent="0.25">
      <c r="A267">
        <v>264</v>
      </c>
      <c r="B267" s="4">
        <f>-PPMT('Owner Occupier'!$D$41/12,'FHA Amotization'!$A267,360,'Owner Occupier'!$D$40,0,0)</f>
        <v>1671.0044535710854</v>
      </c>
      <c r="C267" s="4">
        <f>-IPMT('Owner Occupier'!$D$41/12,'FHA Amotization'!$A267,360,'Owner Occupier'!$D$40,0,0)</f>
        <v>683.56916889226591</v>
      </c>
      <c r="D267" s="4">
        <f t="shared" si="12"/>
        <v>2354.5736224633511</v>
      </c>
      <c r="E267" s="3">
        <f t="shared" si="13"/>
        <v>191336.76088071568</v>
      </c>
      <c r="F267" s="4">
        <f>('Owner Occupier'!$H$24-'Owner Occupier'!$D$52)/('Owner Occupier'!$D$56-'Owner Occupier'!$D$52)*B267</f>
        <v>788.30866876228663</v>
      </c>
      <c r="G267" s="4">
        <f t="shared" si="14"/>
        <v>135532.86844841304</v>
      </c>
    </row>
    <row r="268" spans="1:7" x14ac:dyDescent="0.25">
      <c r="A268">
        <v>265</v>
      </c>
      <c r="B268" s="4">
        <f>-PPMT('Owner Occupier'!$D$41/12,'FHA Amotization'!$A268,360,'Owner Occupier'!$D$40,0,0)</f>
        <v>1676.9225943441495</v>
      </c>
      <c r="C268" s="4">
        <f>-IPMT('Owner Occupier'!$D$41/12,'FHA Amotization'!$A268,360,'Owner Occupier'!$D$40,0,0)</f>
        <v>677.65102811920167</v>
      </c>
      <c r="D268" s="4">
        <f t="shared" si="12"/>
        <v>2354.5736224633511</v>
      </c>
      <c r="E268" s="3">
        <f t="shared" si="13"/>
        <v>189659.83828637152</v>
      </c>
      <c r="F268" s="4">
        <f>('Owner Occupier'!$H$24-'Owner Occupier'!$D$52)/('Owner Occupier'!$D$56-'Owner Occupier'!$D$52)*B268</f>
        <v>791.10059529748639</v>
      </c>
      <c r="G268" s="4">
        <f t="shared" si="14"/>
        <v>136323.96904371053</v>
      </c>
    </row>
    <row r="269" spans="1:7" x14ac:dyDescent="0.25">
      <c r="A269">
        <v>266</v>
      </c>
      <c r="B269" s="4">
        <f>-PPMT('Owner Occupier'!$D$41/12,'FHA Amotization'!$A269,360,'Owner Occupier'!$D$40,0,0)</f>
        <v>1682.8616951991182</v>
      </c>
      <c r="C269" s="4">
        <f>-IPMT('Owner Occupier'!$D$41/12,'FHA Amotization'!$A269,360,'Owner Occupier'!$D$40,0,0)</f>
        <v>671.71192726423271</v>
      </c>
      <c r="D269" s="4">
        <f t="shared" si="12"/>
        <v>2354.5736224633511</v>
      </c>
      <c r="E269" s="3">
        <f t="shared" si="13"/>
        <v>187976.9765911724</v>
      </c>
      <c r="F269" s="4">
        <f>('Owner Occupier'!$H$24-'Owner Occupier'!$D$52)/('Owner Occupier'!$D$56-'Owner Occupier'!$D$52)*B269</f>
        <v>793.90240990583152</v>
      </c>
      <c r="G269" s="4">
        <f t="shared" si="14"/>
        <v>137117.87145361636</v>
      </c>
    </row>
    <row r="270" spans="1:7" x14ac:dyDescent="0.25">
      <c r="A270">
        <v>267</v>
      </c>
      <c r="B270" s="4">
        <f>-PPMT('Owner Occupier'!$D$41/12,'FHA Amotization'!$A270,360,'Owner Occupier'!$D$40,0,0)</f>
        <v>1688.8218303696153</v>
      </c>
      <c r="C270" s="4">
        <f>-IPMT('Owner Occupier'!$D$41/12,'FHA Amotization'!$A270,360,'Owner Occupier'!$D$40,0,0)</f>
        <v>665.75179209373584</v>
      </c>
      <c r="D270" s="4">
        <f t="shared" si="12"/>
        <v>2354.5736224633511</v>
      </c>
      <c r="E270" s="3">
        <f t="shared" si="13"/>
        <v>186288.15476080278</v>
      </c>
      <c r="F270" s="4">
        <f>('Owner Occupier'!$H$24-'Owner Occupier'!$D$52)/('Owner Occupier'!$D$56-'Owner Occupier'!$D$52)*B270</f>
        <v>796.71414760758148</v>
      </c>
      <c r="G270" s="4">
        <f t="shared" si="14"/>
        <v>137914.58560122395</v>
      </c>
    </row>
    <row r="271" spans="1:7" x14ac:dyDescent="0.25">
      <c r="A271">
        <v>268</v>
      </c>
      <c r="B271" s="4">
        <f>-PPMT('Owner Occupier'!$D$41/12,'FHA Amotization'!$A271,360,'Owner Occupier'!$D$40,0,0)</f>
        <v>1694.8030743521742</v>
      </c>
      <c r="C271" s="4">
        <f>-IPMT('Owner Occupier'!$D$41/12,'FHA Amotization'!$A271,360,'Owner Occupier'!$D$40,0,0)</f>
        <v>659.77054811117682</v>
      </c>
      <c r="D271" s="4">
        <f t="shared" si="12"/>
        <v>2354.5736224633511</v>
      </c>
      <c r="E271" s="3">
        <f t="shared" si="13"/>
        <v>184593.35168645059</v>
      </c>
      <c r="F271" s="4">
        <f>('Owner Occupier'!$H$24-'Owner Occupier'!$D$52)/('Owner Occupier'!$D$56-'Owner Occupier'!$D$52)*B271</f>
        <v>799.53584354702491</v>
      </c>
      <c r="G271" s="4">
        <f t="shared" si="14"/>
        <v>138714.12144477098</v>
      </c>
    </row>
    <row r="272" spans="1:7" x14ac:dyDescent="0.25">
      <c r="A272">
        <v>269</v>
      </c>
      <c r="B272" s="4">
        <f>-PPMT('Owner Occupier'!$D$41/12,'FHA Amotization'!$A272,360,'Owner Occupier'!$D$40,0,0)</f>
        <v>1700.8055019071717</v>
      </c>
      <c r="C272" s="4">
        <f>-IPMT('Owner Occupier'!$D$41/12,'FHA Amotization'!$A272,360,'Owner Occupier'!$D$40,0,0)</f>
        <v>653.76812055617961</v>
      </c>
      <c r="D272" s="4">
        <f t="shared" si="12"/>
        <v>2354.5736224633511</v>
      </c>
      <c r="E272" s="3">
        <f t="shared" si="13"/>
        <v>182892.54618454343</v>
      </c>
      <c r="F272" s="4">
        <f>('Owner Occupier'!$H$24-'Owner Occupier'!$D$52)/('Owner Occupier'!$D$56-'Owner Occupier'!$D$52)*B272</f>
        <v>802.3675329929207</v>
      </c>
      <c r="G272" s="4">
        <f t="shared" si="14"/>
        <v>139516.48897776389</v>
      </c>
    </row>
    <row r="273" spans="1:7" x14ac:dyDescent="0.25">
      <c r="A273">
        <v>270</v>
      </c>
      <c r="B273" s="4">
        <f>-PPMT('Owner Occupier'!$D$41/12,'FHA Amotization'!$A273,360,'Owner Occupier'!$D$40,0,0)</f>
        <v>1706.8291880597594</v>
      </c>
      <c r="C273" s="4">
        <f>-IPMT('Owner Occupier'!$D$41/12,'FHA Amotization'!$A273,360,'Owner Occupier'!$D$40,0,0)</f>
        <v>647.74443440359153</v>
      </c>
      <c r="D273" s="4">
        <f t="shared" si="12"/>
        <v>2354.5736224633511</v>
      </c>
      <c r="E273" s="3">
        <f t="shared" si="13"/>
        <v>181185.71699648368</v>
      </c>
      <c r="F273" s="4">
        <f>('Owner Occupier'!$H$24-'Owner Occupier'!$D$52)/('Owner Occupier'!$D$56-'Owner Occupier'!$D$52)*B273</f>
        <v>805.20925133893729</v>
      </c>
      <c r="G273" s="4">
        <f t="shared" si="14"/>
        <v>140321.69822910283</v>
      </c>
    </row>
    <row r="274" spans="1:7" x14ac:dyDescent="0.25">
      <c r="A274">
        <v>271</v>
      </c>
      <c r="B274" s="4">
        <f>-PPMT('Owner Occupier'!$D$41/12,'FHA Amotization'!$A274,360,'Owner Occupier'!$D$40,0,0)</f>
        <v>1712.8742081008043</v>
      </c>
      <c r="C274" s="4">
        <f>-IPMT('Owner Occupier'!$D$41/12,'FHA Amotization'!$A274,360,'Owner Occupier'!$D$40,0,0)</f>
        <v>641.69941436254658</v>
      </c>
      <c r="D274" s="4">
        <f t="shared" si="12"/>
        <v>2354.5736224633511</v>
      </c>
      <c r="E274" s="3">
        <f t="shared" si="13"/>
        <v>179472.84278838287</v>
      </c>
      <c r="F274" s="4">
        <f>('Owner Occupier'!$H$24-'Owner Occupier'!$D$52)/('Owner Occupier'!$D$56-'Owner Occupier'!$D$52)*B274</f>
        <v>808.06103410409594</v>
      </c>
      <c r="G274" s="4">
        <f t="shared" si="14"/>
        <v>141129.75926320691</v>
      </c>
    </row>
    <row r="275" spans="1:7" x14ac:dyDescent="0.25">
      <c r="A275">
        <v>272</v>
      </c>
      <c r="B275" s="4">
        <f>-PPMT('Owner Occupier'!$D$41/12,'FHA Amotization'!$A275,360,'Owner Occupier'!$D$40,0,0)</f>
        <v>1718.9406375878284</v>
      </c>
      <c r="C275" s="4">
        <f>-IPMT('Owner Occupier'!$D$41/12,'FHA Amotization'!$A275,360,'Owner Occupier'!$D$40,0,0)</f>
        <v>635.63298487552299</v>
      </c>
      <c r="D275" s="4">
        <f t="shared" si="12"/>
        <v>2354.5736224633515</v>
      </c>
      <c r="E275" s="3">
        <f t="shared" si="13"/>
        <v>177753.90215079504</v>
      </c>
      <c r="F275" s="4">
        <f>('Owner Occupier'!$H$24-'Owner Occupier'!$D$52)/('Owner Occupier'!$D$56-'Owner Occupier'!$D$52)*B275</f>
        <v>810.92291693321476</v>
      </c>
      <c r="G275" s="4">
        <f t="shared" si="14"/>
        <v>141940.68218014014</v>
      </c>
    </row>
    <row r="276" spans="1:7" x14ac:dyDescent="0.25">
      <c r="A276">
        <v>273</v>
      </c>
      <c r="B276" s="4">
        <f>-PPMT('Owner Occupier'!$D$41/12,'FHA Amotization'!$A276,360,'Owner Occupier'!$D$40,0,0)</f>
        <v>1725.0285523459515</v>
      </c>
      <c r="C276" s="4">
        <f>-IPMT('Owner Occupier'!$D$41/12,'FHA Amotization'!$A276,360,'Owner Occupier'!$D$40,0,0)</f>
        <v>629.5450701173994</v>
      </c>
      <c r="D276" s="4">
        <f t="shared" si="12"/>
        <v>2354.5736224633511</v>
      </c>
      <c r="E276" s="3">
        <f t="shared" si="13"/>
        <v>176028.87359844908</v>
      </c>
      <c r="F276" s="4">
        <f>('Owner Occupier'!$H$24-'Owner Occupier'!$D$52)/('Owner Occupier'!$D$56-'Owner Occupier'!$D$52)*B276</f>
        <v>813.79493559735306</v>
      </c>
      <c r="G276" s="4">
        <f t="shared" si="14"/>
        <v>142754.47711573748</v>
      </c>
    </row>
    <row r="277" spans="1:7" x14ac:dyDescent="0.25">
      <c r="A277">
        <v>274</v>
      </c>
      <c r="B277" s="4">
        <f>-PPMT('Owner Occupier'!$D$41/12,'FHA Amotization'!$A277,360,'Owner Occupier'!$D$40,0,0)</f>
        <v>1731.1380284688437</v>
      </c>
      <c r="C277" s="4">
        <f>-IPMT('Owner Occupier'!$D$41/12,'FHA Amotization'!$A277,360,'Owner Occupier'!$D$40,0,0)</f>
        <v>623.4355939945076</v>
      </c>
      <c r="D277" s="4">
        <f t="shared" si="12"/>
        <v>2354.5736224633511</v>
      </c>
      <c r="E277" s="3">
        <f t="shared" si="13"/>
        <v>174297.73556998023</v>
      </c>
      <c r="F277" s="4">
        <f>('Owner Occupier'!$H$24-'Owner Occupier'!$D$52)/('Owner Occupier'!$D$56-'Owner Occupier'!$D$52)*B277</f>
        <v>816.67712599426045</v>
      </c>
      <c r="G277" s="4">
        <f t="shared" si="14"/>
        <v>143571.15424173174</v>
      </c>
    </row>
    <row r="278" spans="1:7" x14ac:dyDescent="0.25">
      <c r="A278">
        <v>275</v>
      </c>
      <c r="B278" s="4">
        <f>-PPMT('Owner Occupier'!$D$41/12,'FHA Amotization'!$A278,360,'Owner Occupier'!$D$40,0,0)</f>
        <v>1737.2691423196707</v>
      </c>
      <c r="C278" s="4">
        <f>-IPMT('Owner Occupier'!$D$41/12,'FHA Amotization'!$A278,360,'Owner Occupier'!$D$40,0,0)</f>
        <v>617.30448014368039</v>
      </c>
      <c r="D278" s="4">
        <f t="shared" si="12"/>
        <v>2354.5736224633511</v>
      </c>
      <c r="E278" s="3">
        <f t="shared" si="13"/>
        <v>172560.46642766055</v>
      </c>
      <c r="F278" s="4">
        <f>('Owner Occupier'!$H$24-'Owner Occupier'!$D$52)/('Owner Occupier'!$D$56-'Owner Occupier'!$D$52)*B278</f>
        <v>819.56952414882335</v>
      </c>
      <c r="G278" s="4">
        <f t="shared" si="14"/>
        <v>144390.72376588057</v>
      </c>
    </row>
    <row r="279" spans="1:7" x14ac:dyDescent="0.25">
      <c r="A279">
        <v>276</v>
      </c>
      <c r="B279" s="4">
        <f>-PPMT('Owner Occupier'!$D$41/12,'FHA Amotization'!$A279,360,'Owner Occupier'!$D$40,0,0)</f>
        <v>1743.4219705320527</v>
      </c>
      <c r="C279" s="4">
        <f>-IPMT('Owner Occupier'!$D$41/12,'FHA Amotization'!$A279,360,'Owner Occupier'!$D$40,0,0)</f>
        <v>611.15165193129837</v>
      </c>
      <c r="D279" s="4">
        <f t="shared" si="12"/>
        <v>2354.5736224633511</v>
      </c>
      <c r="E279" s="3">
        <f t="shared" si="13"/>
        <v>170817.0444571285</v>
      </c>
      <c r="F279" s="4">
        <f>('Owner Occupier'!$H$24-'Owner Occupier'!$D$52)/('Owner Occupier'!$D$56-'Owner Occupier'!$D$52)*B279</f>
        <v>822.47216621351708</v>
      </c>
      <c r="G279" s="4">
        <f t="shared" si="14"/>
        <v>145213.1959320941</v>
      </c>
    </row>
    <row r="280" spans="1:7" x14ac:dyDescent="0.25">
      <c r="A280">
        <v>277</v>
      </c>
      <c r="B280" s="4">
        <f>-PPMT('Owner Occupier'!$D$41/12,'FHA Amotization'!$A280,360,'Owner Occupier'!$D$40,0,0)</f>
        <v>1749.5965900110205</v>
      </c>
      <c r="C280" s="4">
        <f>-IPMT('Owner Occupier'!$D$41/12,'FHA Amotization'!$A280,360,'Owner Occupier'!$D$40,0,0)</f>
        <v>604.9770324523306</v>
      </c>
      <c r="D280" s="4">
        <f t="shared" si="12"/>
        <v>2354.5736224633511</v>
      </c>
      <c r="E280" s="3">
        <f t="shared" si="13"/>
        <v>169067.44786711747</v>
      </c>
      <c r="F280" s="4">
        <f>('Owner Occupier'!$H$24-'Owner Occupier'!$D$52)/('Owner Occupier'!$D$56-'Owner Occupier'!$D$52)*B280</f>
        <v>825.38508846885668</v>
      </c>
      <c r="G280" s="4">
        <f t="shared" si="14"/>
        <v>146038.58102056294</v>
      </c>
    </row>
    <row r="281" spans="1:7" x14ac:dyDescent="0.25">
      <c r="A281">
        <v>278</v>
      </c>
      <c r="B281" s="4">
        <f>-PPMT('Owner Occupier'!$D$41/12,'FHA Amotization'!$A281,360,'Owner Occupier'!$D$40,0,0)</f>
        <v>1755.7930779339763</v>
      </c>
      <c r="C281" s="4">
        <f>-IPMT('Owner Occupier'!$D$41/12,'FHA Amotization'!$A281,360,'Owner Occupier'!$D$40,0,0)</f>
        <v>598.78054452937488</v>
      </c>
      <c r="D281" s="4">
        <f t="shared" si="12"/>
        <v>2354.5736224633511</v>
      </c>
      <c r="E281" s="3">
        <f t="shared" si="13"/>
        <v>167311.65478918349</v>
      </c>
      <c r="F281" s="4">
        <f>('Owner Occupier'!$H$24-'Owner Occupier'!$D$52)/('Owner Occupier'!$D$56-'Owner Occupier'!$D$52)*B281</f>
        <v>828.30832732385056</v>
      </c>
      <c r="G281" s="4">
        <f t="shared" si="14"/>
        <v>146866.88934788678</v>
      </c>
    </row>
    <row r="282" spans="1:7" x14ac:dyDescent="0.25">
      <c r="A282">
        <v>279</v>
      </c>
      <c r="B282" s="4">
        <f>-PPMT('Owner Occupier'!$D$41/12,'FHA Amotization'!$A282,360,'Owner Occupier'!$D$40,0,0)</f>
        <v>1762.0115117516593</v>
      </c>
      <c r="C282" s="4">
        <f>-IPMT('Owner Occupier'!$D$41/12,'FHA Amotization'!$A282,360,'Owner Occupier'!$D$40,0,0)</f>
        <v>592.56211071169196</v>
      </c>
      <c r="D282" s="4">
        <f t="shared" si="12"/>
        <v>2354.5736224633511</v>
      </c>
      <c r="E282" s="3">
        <f t="shared" si="13"/>
        <v>165549.64327743184</v>
      </c>
      <c r="F282" s="4">
        <f>('Owner Occupier'!$H$24-'Owner Occupier'!$D$52)/('Owner Occupier'!$D$56-'Owner Occupier'!$D$52)*B282</f>
        <v>831.24191931645601</v>
      </c>
      <c r="G282" s="4">
        <f t="shared" si="14"/>
        <v>147698.13126720325</v>
      </c>
    </row>
    <row r="283" spans="1:7" x14ac:dyDescent="0.25">
      <c r="A283">
        <v>280</v>
      </c>
      <c r="B283" s="4">
        <f>-PPMT('Owner Occupier'!$D$41/12,'FHA Amotization'!$A283,360,'Owner Occupier'!$D$40,0,0)</f>
        <v>1768.251969189113</v>
      </c>
      <c r="C283" s="4">
        <f>-IPMT('Owner Occupier'!$D$41/12,'FHA Amotization'!$A283,360,'Owner Occupier'!$D$40,0,0)</f>
        <v>586.3216532742382</v>
      </c>
      <c r="D283" s="4">
        <f t="shared" si="12"/>
        <v>2354.5736224633511</v>
      </c>
      <c r="E283" s="3">
        <f t="shared" si="13"/>
        <v>163781.39130824272</v>
      </c>
      <c r="F283" s="4">
        <f>('Owner Occupier'!$H$24-'Owner Occupier'!$D$52)/('Owner Occupier'!$D$56-'Owner Occupier'!$D$52)*B283</f>
        <v>834.185901114035</v>
      </c>
      <c r="G283" s="4">
        <f t="shared" si="14"/>
        <v>148532.3171683173</v>
      </c>
    </row>
    <row r="284" spans="1:7" x14ac:dyDescent="0.25">
      <c r="A284">
        <v>281</v>
      </c>
      <c r="B284" s="4">
        <f>-PPMT('Owner Occupier'!$D$41/12,'FHA Amotization'!$A284,360,'Owner Occupier'!$D$40,0,0)</f>
        <v>1774.5145282466578</v>
      </c>
      <c r="C284" s="4">
        <f>-IPMT('Owner Occupier'!$D$41/12,'FHA Amotization'!$A284,360,'Owner Occupier'!$D$40,0,0)</f>
        <v>580.05909421669344</v>
      </c>
      <c r="D284" s="4">
        <f t="shared" si="12"/>
        <v>2354.5736224633511</v>
      </c>
      <c r="E284" s="3">
        <f t="shared" si="13"/>
        <v>162006.87677999606</v>
      </c>
      <c r="F284" s="4">
        <f>('Owner Occupier'!$H$24-'Owner Occupier'!$D$52)/('Owner Occupier'!$D$56-'Owner Occupier'!$D$52)*B284</f>
        <v>837.14030951381392</v>
      </c>
      <c r="G284" s="4">
        <f t="shared" si="14"/>
        <v>149369.45747783111</v>
      </c>
    </row>
    <row r="285" spans="1:7" x14ac:dyDescent="0.25">
      <c r="A285">
        <v>282</v>
      </c>
      <c r="B285" s="4">
        <f>-PPMT('Owner Occupier'!$D$41/12,'FHA Amotization'!$A285,360,'Owner Occupier'!$D$40,0,0)</f>
        <v>1780.7992672008645</v>
      </c>
      <c r="C285" s="4">
        <f>-IPMT('Owner Occupier'!$D$41/12,'FHA Amotization'!$A285,360,'Owner Occupier'!$D$40,0,0)</f>
        <v>573.77435526248655</v>
      </c>
      <c r="D285" s="4">
        <f t="shared" si="12"/>
        <v>2354.5736224633511</v>
      </c>
      <c r="E285" s="3">
        <f t="shared" si="13"/>
        <v>160226.07751279519</v>
      </c>
      <c r="F285" s="4">
        <f>('Owner Occupier'!$H$24-'Owner Occupier'!$D$52)/('Owner Occupier'!$D$56-'Owner Occupier'!$D$52)*B285</f>
        <v>840.10518144334196</v>
      </c>
      <c r="G285" s="4">
        <f t="shared" si="14"/>
        <v>150209.56265927444</v>
      </c>
    </row>
    <row r="286" spans="1:7" x14ac:dyDescent="0.25">
      <c r="A286">
        <v>283</v>
      </c>
      <c r="B286" s="4">
        <f>-PPMT('Owner Occupier'!$D$41/12,'FHA Amotization'!$A286,360,'Owner Occupier'!$D$40,0,0)</f>
        <v>1787.1062646055343</v>
      </c>
      <c r="C286" s="4">
        <f>-IPMT('Owner Occupier'!$D$41/12,'FHA Amotization'!$A286,360,'Owner Occupier'!$D$40,0,0)</f>
        <v>567.46735785781675</v>
      </c>
      <c r="D286" s="4">
        <f t="shared" si="12"/>
        <v>2354.5736224633511</v>
      </c>
      <c r="E286" s="3">
        <f t="shared" si="13"/>
        <v>158438.97124818966</v>
      </c>
      <c r="F286" s="4">
        <f>('Owner Occupier'!$H$24-'Owner Occupier'!$D$52)/('Owner Occupier'!$D$56-'Owner Occupier'!$D$52)*B286</f>
        <v>843.08055396095381</v>
      </c>
      <c r="G286" s="4">
        <f t="shared" si="14"/>
        <v>151052.64321323539</v>
      </c>
    </row>
    <row r="287" spans="1:7" x14ac:dyDescent="0.25">
      <c r="A287">
        <v>284</v>
      </c>
      <c r="B287" s="4">
        <f>-PPMT('Owner Occupier'!$D$41/12,'FHA Amotization'!$A287,360,'Owner Occupier'!$D$40,0,0)</f>
        <v>1793.4355992926792</v>
      </c>
      <c r="C287" s="4">
        <f>-IPMT('Owner Occupier'!$D$41/12,'FHA Amotization'!$A287,360,'Owner Occupier'!$D$40,0,0)</f>
        <v>561.13802317067211</v>
      </c>
      <c r="D287" s="4">
        <f t="shared" si="12"/>
        <v>2354.5736224633511</v>
      </c>
      <c r="E287" s="3">
        <f t="shared" si="13"/>
        <v>156645.53564889697</v>
      </c>
      <c r="F287" s="4">
        <f>('Owner Occupier'!$H$24-'Owner Occupier'!$D$52)/('Owner Occupier'!$D$56-'Owner Occupier'!$D$52)*B287</f>
        <v>846.06646425623228</v>
      </c>
      <c r="G287" s="4">
        <f t="shared" si="14"/>
        <v>151898.70967749163</v>
      </c>
    </row>
    <row r="288" spans="1:7" x14ac:dyDescent="0.25">
      <c r="A288">
        <v>285</v>
      </c>
      <c r="B288" s="4">
        <f>-PPMT('Owner Occupier'!$D$41/12,'FHA Amotization'!$A288,360,'Owner Occupier'!$D$40,0,0)</f>
        <v>1799.7873503735073</v>
      </c>
      <c r="C288" s="4">
        <f>-IPMT('Owner Occupier'!$D$41/12,'FHA Amotization'!$A288,360,'Owner Occupier'!$D$40,0,0)</f>
        <v>554.78627208984403</v>
      </c>
      <c r="D288" s="4">
        <f t="shared" si="12"/>
        <v>2354.5736224633511</v>
      </c>
      <c r="E288" s="3">
        <f t="shared" si="13"/>
        <v>154845.74829852345</v>
      </c>
      <c r="F288" s="4">
        <f>('Owner Occupier'!$H$24-'Owner Occupier'!$D$52)/('Owner Occupier'!$D$56-'Owner Occupier'!$D$52)*B288</f>
        <v>849.062949650473</v>
      </c>
      <c r="G288" s="4">
        <f t="shared" si="14"/>
        <v>152747.77262714211</v>
      </c>
    </row>
    <row r="289" spans="1:7" x14ac:dyDescent="0.25">
      <c r="A289">
        <v>286</v>
      </c>
      <c r="B289" s="4">
        <f>-PPMT('Owner Occupier'!$D$41/12,'FHA Amotization'!$A289,360,'Owner Occupier'!$D$40,0,0)</f>
        <v>1806.1615972394134</v>
      </c>
      <c r="C289" s="4">
        <f>-IPMT('Owner Occupier'!$D$41/12,'FHA Amotization'!$A289,360,'Owner Occupier'!$D$40,0,0)</f>
        <v>548.4120252239378</v>
      </c>
      <c r="D289" s="4">
        <f t="shared" si="12"/>
        <v>2354.5736224633511</v>
      </c>
      <c r="E289" s="3">
        <f t="shared" si="13"/>
        <v>153039.58670128405</v>
      </c>
      <c r="F289" s="4">
        <f>('Owner Occupier'!$H$24-'Owner Occupier'!$D$52)/('Owner Occupier'!$D$56-'Owner Occupier'!$D$52)*B289</f>
        <v>852.07004759715176</v>
      </c>
      <c r="G289" s="4">
        <f t="shared" si="14"/>
        <v>153599.84267473925</v>
      </c>
    </row>
    <row r="290" spans="1:7" x14ac:dyDescent="0.25">
      <c r="A290">
        <v>287</v>
      </c>
      <c r="B290" s="4">
        <f>-PPMT('Owner Occupier'!$D$41/12,'FHA Amotization'!$A290,360,'Owner Occupier'!$D$40,0,0)</f>
        <v>1812.5584195629694</v>
      </c>
      <c r="C290" s="4">
        <f>-IPMT('Owner Occupier'!$D$41/12,'FHA Amotization'!$A290,360,'Owner Occupier'!$D$40,0,0)</f>
        <v>542.0152029003815</v>
      </c>
      <c r="D290" s="4">
        <f t="shared" si="12"/>
        <v>2354.5736224633511</v>
      </c>
      <c r="E290" s="3">
        <f t="shared" si="13"/>
        <v>151227.02828172108</v>
      </c>
      <c r="F290" s="4">
        <f>('Owner Occupier'!$H$24-'Owner Occupier'!$D$52)/('Owner Occupier'!$D$56-'Owner Occupier'!$D$52)*B290</f>
        <v>855.08779568239163</v>
      </c>
      <c r="G290" s="4">
        <f t="shared" si="14"/>
        <v>154454.93047042165</v>
      </c>
    </row>
    <row r="291" spans="1:7" x14ac:dyDescent="0.25">
      <c r="A291">
        <v>288</v>
      </c>
      <c r="B291" s="4">
        <f>-PPMT('Owner Occupier'!$D$41/12,'FHA Amotization'!$A291,360,'Owner Occupier'!$D$40,0,0)</f>
        <v>1818.977897298922</v>
      </c>
      <c r="C291" s="4">
        <f>-IPMT('Owner Occupier'!$D$41/12,'FHA Amotization'!$A291,360,'Owner Occupier'!$D$40,0,0)</f>
        <v>535.59572516442938</v>
      </c>
      <c r="D291" s="4">
        <f t="shared" si="12"/>
        <v>2354.5736224633515</v>
      </c>
      <c r="E291" s="3">
        <f t="shared" si="13"/>
        <v>149408.05038442215</v>
      </c>
      <c r="F291" s="4">
        <f>('Owner Occupier'!$H$24-'Owner Occupier'!$D$52)/('Owner Occupier'!$D$56-'Owner Occupier'!$D$52)*B291</f>
        <v>858.11623162543356</v>
      </c>
      <c r="G291" s="4">
        <f t="shared" si="14"/>
        <v>155313.04670204708</v>
      </c>
    </row>
    <row r="292" spans="1:7" x14ac:dyDescent="0.25">
      <c r="A292">
        <v>289</v>
      </c>
      <c r="B292" s="4">
        <f>-PPMT('Owner Occupier'!$D$41/12,'FHA Amotization'!$A292,360,'Owner Occupier'!$D$40,0,0)</f>
        <v>1825.4201106851888</v>
      </c>
      <c r="C292" s="4">
        <f>-IPMT('Owner Occupier'!$D$41/12,'FHA Amotization'!$A292,360,'Owner Occupier'!$D$40,0,0)</f>
        <v>529.15351177816228</v>
      </c>
      <c r="D292" s="4">
        <f t="shared" si="12"/>
        <v>2354.5736224633511</v>
      </c>
      <c r="E292" s="3">
        <f t="shared" si="13"/>
        <v>147582.63027373696</v>
      </c>
      <c r="F292" s="4">
        <f>('Owner Occupier'!$H$24-'Owner Occupier'!$D$52)/('Owner Occupier'!$D$56-'Owner Occupier'!$D$52)*B292</f>
        <v>861.15539327910687</v>
      </c>
      <c r="G292" s="4">
        <f t="shared" si="14"/>
        <v>156174.20209532618</v>
      </c>
    </row>
    <row r="293" spans="1:7" x14ac:dyDescent="0.25">
      <c r="A293">
        <v>290</v>
      </c>
      <c r="B293" s="4">
        <f>-PPMT('Owner Occupier'!$D$41/12,'FHA Amotization'!$A293,360,'Owner Occupier'!$D$40,0,0)</f>
        <v>1831.8851402438656</v>
      </c>
      <c r="C293" s="4">
        <f>-IPMT('Owner Occupier'!$D$41/12,'FHA Amotization'!$A293,360,'Owner Occupier'!$D$40,0,0)</f>
        <v>522.68848221948565</v>
      </c>
      <c r="D293" s="4">
        <f t="shared" si="12"/>
        <v>2354.5736224633511</v>
      </c>
      <c r="E293" s="3">
        <f t="shared" si="13"/>
        <v>145750.7451334931</v>
      </c>
      <c r="F293" s="4">
        <f>('Owner Occupier'!$H$24-'Owner Occupier'!$D$52)/('Owner Occupier'!$D$56-'Owner Occupier'!$D$52)*B293</f>
        <v>864.20531863030385</v>
      </c>
      <c r="G293" s="4">
        <f t="shared" si="14"/>
        <v>157038.40741395648</v>
      </c>
    </row>
    <row r="294" spans="1:7" x14ac:dyDescent="0.25">
      <c r="A294">
        <v>291</v>
      </c>
      <c r="B294" s="4">
        <f>-PPMT('Owner Occupier'!$D$41/12,'FHA Amotization'!$A294,360,'Owner Occupier'!$D$40,0,0)</f>
        <v>1838.3730667822292</v>
      </c>
      <c r="C294" s="4">
        <f>-IPMT('Owner Occupier'!$D$41/12,'FHA Amotization'!$A294,360,'Owner Occupier'!$D$40,0,0)</f>
        <v>516.20055568112195</v>
      </c>
      <c r="D294" s="4">
        <f t="shared" si="12"/>
        <v>2354.5736224633511</v>
      </c>
      <c r="E294" s="3">
        <f t="shared" si="13"/>
        <v>143912.37206671087</v>
      </c>
      <c r="F294" s="4">
        <f>('Owner Occupier'!$H$24-'Owner Occupier'!$D$52)/('Owner Occupier'!$D$56-'Owner Occupier'!$D$52)*B294</f>
        <v>867.26604580045273</v>
      </c>
      <c r="G294" s="4">
        <f t="shared" si="14"/>
        <v>157905.67345975692</v>
      </c>
    </row>
    <row r="295" spans="1:7" x14ac:dyDescent="0.25">
      <c r="A295">
        <v>292</v>
      </c>
      <c r="B295" s="4">
        <f>-PPMT('Owner Occupier'!$D$41/12,'FHA Amotization'!$A295,360,'Owner Occupier'!$D$40,0,0)</f>
        <v>1844.8839713937496</v>
      </c>
      <c r="C295" s="4">
        <f>-IPMT('Owner Occupier'!$D$41/12,'FHA Amotization'!$A295,360,'Owner Occupier'!$D$40,0,0)</f>
        <v>509.68965106960144</v>
      </c>
      <c r="D295" s="4">
        <f t="shared" si="12"/>
        <v>2354.5736224633511</v>
      </c>
      <c r="E295" s="3">
        <f t="shared" si="13"/>
        <v>142067.48809531712</v>
      </c>
      <c r="F295" s="4">
        <f>('Owner Occupier'!$H$24-'Owner Occupier'!$D$52)/('Owner Occupier'!$D$56-'Owner Occupier'!$D$52)*B295</f>
        <v>870.33761304599602</v>
      </c>
      <c r="G295" s="4">
        <f t="shared" si="14"/>
        <v>158776.01107280291</v>
      </c>
    </row>
    <row r="296" spans="1:7" x14ac:dyDescent="0.25">
      <c r="A296">
        <v>293</v>
      </c>
      <c r="B296" s="4">
        <f>-PPMT('Owner Occupier'!$D$41/12,'FHA Amotization'!$A296,360,'Owner Occupier'!$D$40,0,0)</f>
        <v>1851.4179354591026</v>
      </c>
      <c r="C296" s="4">
        <f>-IPMT('Owner Occupier'!$D$41/12,'FHA Amotization'!$A296,360,'Owner Occupier'!$D$40,0,0)</f>
        <v>503.15568700424859</v>
      </c>
      <c r="D296" s="4">
        <f t="shared" si="12"/>
        <v>2354.5736224633511</v>
      </c>
      <c r="E296" s="3">
        <f t="shared" si="13"/>
        <v>140216.07015985803</v>
      </c>
      <c r="F296" s="4">
        <f>('Owner Occupier'!$H$24-'Owner Occupier'!$D$52)/('Owner Occupier'!$D$56-'Owner Occupier'!$D$52)*B296</f>
        <v>873.4200587588673</v>
      </c>
      <c r="G296" s="4">
        <f t="shared" si="14"/>
        <v>159649.43113156178</v>
      </c>
    </row>
    <row r="297" spans="1:7" x14ac:dyDescent="0.25">
      <c r="A297">
        <v>294</v>
      </c>
      <c r="B297" s="4">
        <f>-PPMT('Owner Occupier'!$D$41/12,'FHA Amotization'!$A297,360,'Owner Occupier'!$D$40,0,0)</f>
        <v>1857.9750406471869</v>
      </c>
      <c r="C297" s="4">
        <f>-IPMT('Owner Occupier'!$D$41/12,'FHA Amotization'!$A297,360,'Owner Occupier'!$D$40,0,0)</f>
        <v>496.59858181616431</v>
      </c>
      <c r="D297" s="4">
        <f t="shared" si="12"/>
        <v>2354.5736224633511</v>
      </c>
      <c r="E297" s="3">
        <f t="shared" si="13"/>
        <v>138358.09511921083</v>
      </c>
      <c r="F297" s="4">
        <f>('Owner Occupier'!$H$24-'Owner Occupier'!$D$52)/('Owner Occupier'!$D$56-'Owner Occupier'!$D$52)*B297</f>
        <v>876.51342146697164</v>
      </c>
      <c r="G297" s="4">
        <f t="shared" si="14"/>
        <v>160525.94455302876</v>
      </c>
    </row>
    <row r="298" spans="1:7" x14ac:dyDescent="0.25">
      <c r="A298">
        <v>295</v>
      </c>
      <c r="B298" s="4">
        <f>-PPMT('Owner Occupier'!$D$41/12,'FHA Amotization'!$A298,360,'Owner Occupier'!$D$40,0,0)</f>
        <v>1864.5553689161454</v>
      </c>
      <c r="C298" s="4">
        <f>-IPMT('Owner Occupier'!$D$41/12,'FHA Amotization'!$A298,360,'Owner Occupier'!$D$40,0,0)</f>
        <v>490.01825354720557</v>
      </c>
      <c r="D298" s="4">
        <f t="shared" si="12"/>
        <v>2354.5736224633511</v>
      </c>
      <c r="E298" s="3">
        <f t="shared" si="13"/>
        <v>136493.5397502947</v>
      </c>
      <c r="F298" s="4">
        <f>('Owner Occupier'!$H$24-'Owner Occupier'!$D$52)/('Owner Occupier'!$D$56-'Owner Occupier'!$D$52)*B298</f>
        <v>879.61773983466696</v>
      </c>
      <c r="G298" s="4">
        <f t="shared" si="14"/>
        <v>161405.56229286344</v>
      </c>
    </row>
    <row r="299" spans="1:7" x14ac:dyDescent="0.25">
      <c r="A299">
        <v>296</v>
      </c>
      <c r="B299" s="4">
        <f>-PPMT('Owner Occupier'!$D$41/12,'FHA Amotization'!$A299,360,'Owner Occupier'!$D$40,0,0)</f>
        <v>1871.1590025143901</v>
      </c>
      <c r="C299" s="4">
        <f>-IPMT('Owner Occupier'!$D$41/12,'FHA Amotization'!$A299,360,'Owner Occupier'!$D$40,0,0)</f>
        <v>483.41461994896076</v>
      </c>
      <c r="D299" s="4">
        <f t="shared" si="12"/>
        <v>2354.5736224633511</v>
      </c>
      <c r="E299" s="3">
        <f t="shared" si="13"/>
        <v>134622.38074778032</v>
      </c>
      <c r="F299" s="4">
        <f>('Owner Occupier'!$H$24-'Owner Occupier'!$D$52)/('Owner Occupier'!$D$56-'Owner Occupier'!$D$52)*B299</f>
        <v>882.73305266324815</v>
      </c>
      <c r="G299" s="4">
        <f t="shared" si="14"/>
        <v>162288.29534552668</v>
      </c>
    </row>
    <row r="300" spans="1:7" x14ac:dyDescent="0.25">
      <c r="A300">
        <v>297</v>
      </c>
      <c r="B300" s="4">
        <f>-PPMT('Owner Occupier'!$D$41/12,'FHA Amotization'!$A300,360,'Owner Occupier'!$D$40,0,0)</f>
        <v>1877.7860239816287</v>
      </c>
      <c r="C300" s="4">
        <f>-IPMT('Owner Occupier'!$D$41/12,'FHA Amotization'!$A300,360,'Owner Occupier'!$D$40,0,0)</f>
        <v>476.7875984817224</v>
      </c>
      <c r="D300" s="4">
        <f t="shared" si="12"/>
        <v>2354.5736224633511</v>
      </c>
      <c r="E300" s="3">
        <f t="shared" si="13"/>
        <v>132744.59472379868</v>
      </c>
      <c r="F300" s="4">
        <f>('Owner Occupier'!$H$24-'Owner Occupier'!$D$52)/('Owner Occupier'!$D$56-'Owner Occupier'!$D$52)*B300</f>
        <v>885.85939889143049</v>
      </c>
      <c r="G300" s="4">
        <f t="shared" si="14"/>
        <v>163174.15474441811</v>
      </c>
    </row>
    <row r="301" spans="1:7" x14ac:dyDescent="0.25">
      <c r="A301">
        <v>298</v>
      </c>
      <c r="B301" s="4">
        <f>-PPMT('Owner Occupier'!$D$41/12,'FHA Amotization'!$A301,360,'Owner Occupier'!$D$40,0,0)</f>
        <v>1884.436516149897</v>
      </c>
      <c r="C301" s="4">
        <f>-IPMT('Owner Occupier'!$D$41/12,'FHA Amotization'!$A301,360,'Owner Occupier'!$D$40,0,0)</f>
        <v>470.13710631345413</v>
      </c>
      <c r="D301" s="4">
        <f t="shared" si="12"/>
        <v>2354.5736224633511</v>
      </c>
      <c r="E301" s="3">
        <f t="shared" si="13"/>
        <v>130860.15820764878</v>
      </c>
      <c r="F301" s="4">
        <f>('Owner Occupier'!$H$24-'Owner Occupier'!$D$52)/('Owner Occupier'!$D$56-'Owner Occupier'!$D$52)*B301</f>
        <v>888.99681759583768</v>
      </c>
      <c r="G301" s="4">
        <f t="shared" si="14"/>
        <v>164063.15156201395</v>
      </c>
    </row>
    <row r="302" spans="1:7" x14ac:dyDescent="0.25">
      <c r="A302">
        <v>299</v>
      </c>
      <c r="B302" s="4">
        <f>-PPMT('Owner Occupier'!$D$41/12,'FHA Amotization'!$A302,360,'Owner Occupier'!$D$40,0,0)</f>
        <v>1891.1105621445945</v>
      </c>
      <c r="C302" s="4">
        <f>-IPMT('Owner Occupier'!$D$41/12,'FHA Amotization'!$A302,360,'Owner Occupier'!$D$40,0,0)</f>
        <v>463.46306031875662</v>
      </c>
      <c r="D302" s="4">
        <f t="shared" si="12"/>
        <v>2354.5736224633511</v>
      </c>
      <c r="E302" s="3">
        <f t="shared" si="13"/>
        <v>128969.04764550419</v>
      </c>
      <c r="F302" s="4">
        <f>('Owner Occupier'!$H$24-'Owner Occupier'!$D$52)/('Owner Occupier'!$D$56-'Owner Occupier'!$D$52)*B302</f>
        <v>892.14534799148964</v>
      </c>
      <c r="G302" s="4">
        <f t="shared" si="14"/>
        <v>164955.29691000545</v>
      </c>
    </row>
    <row r="303" spans="1:7" x14ac:dyDescent="0.25">
      <c r="A303">
        <v>300</v>
      </c>
      <c r="B303" s="4">
        <f>-PPMT('Owner Occupier'!$D$41/12,'FHA Amotization'!$A303,360,'Owner Occupier'!$D$40,0,0)</f>
        <v>1897.8082453855232</v>
      </c>
      <c r="C303" s="4">
        <f>-IPMT('Owner Occupier'!$D$41/12,'FHA Amotization'!$A303,360,'Owner Occupier'!$D$40,0,0)</f>
        <v>456.76537707782785</v>
      </c>
      <c r="D303" s="4">
        <f t="shared" si="12"/>
        <v>2354.5736224633511</v>
      </c>
      <c r="E303" s="3">
        <f t="shared" si="13"/>
        <v>127071.23940011868</v>
      </c>
      <c r="F303" s="4">
        <f>('Owner Occupier'!$H$24-'Owner Occupier'!$D$52)/('Owner Occupier'!$D$56-'Owner Occupier'!$D$52)*B303</f>
        <v>895.30502943229271</v>
      </c>
      <c r="G303" s="4">
        <f t="shared" si="14"/>
        <v>165850.60193943774</v>
      </c>
    </row>
    <row r="304" spans="1:7" x14ac:dyDescent="0.25">
      <c r="A304">
        <v>301</v>
      </c>
      <c r="B304" s="4">
        <f>-PPMT('Owner Occupier'!$D$41/12,'FHA Amotization'!$A304,360,'Owner Occupier'!$D$40,0,0)</f>
        <v>1904.5296495879302</v>
      </c>
      <c r="C304" s="4">
        <f>-IPMT('Owner Occupier'!$D$41/12,'FHA Amotization'!$A304,360,'Owner Occupier'!$D$40,0,0)</f>
        <v>450.04397287542076</v>
      </c>
      <c r="D304" s="4">
        <f t="shared" si="12"/>
        <v>2354.5736224633511</v>
      </c>
      <c r="E304" s="3">
        <f t="shared" si="13"/>
        <v>125166.70975053075</v>
      </c>
      <c r="F304" s="4">
        <f>('Owner Occupier'!$H$24-'Owner Occupier'!$D$52)/('Owner Occupier'!$D$56-'Owner Occupier'!$D$52)*B304</f>
        <v>898.47590141153205</v>
      </c>
      <c r="G304" s="4">
        <f t="shared" si="14"/>
        <v>166749.07784084926</v>
      </c>
    </row>
    <row r="305" spans="1:7" x14ac:dyDescent="0.25">
      <c r="A305">
        <v>302</v>
      </c>
      <c r="B305" s="4">
        <f>-PPMT('Owner Occupier'!$D$41/12,'FHA Amotization'!$A305,360,'Owner Occupier'!$D$40,0,0)</f>
        <v>1911.2748587635542</v>
      </c>
      <c r="C305" s="4">
        <f>-IPMT('Owner Occupier'!$D$41/12,'FHA Amotization'!$A305,360,'Owner Occupier'!$D$40,0,0)</f>
        <v>443.29876369979689</v>
      </c>
      <c r="D305" s="4">
        <f t="shared" si="12"/>
        <v>2354.5736224633511</v>
      </c>
      <c r="E305" s="3">
        <f t="shared" si="13"/>
        <v>123255.43489176719</v>
      </c>
      <c r="F305" s="4">
        <f>('Owner Occupier'!$H$24-'Owner Occupier'!$D$52)/('Owner Occupier'!$D$56-'Owner Occupier'!$D$52)*B305</f>
        <v>901.65800356236468</v>
      </c>
      <c r="G305" s="4">
        <f t="shared" si="14"/>
        <v>167650.73584441163</v>
      </c>
    </row>
    <row r="306" spans="1:7" x14ac:dyDescent="0.25">
      <c r="A306">
        <v>303</v>
      </c>
      <c r="B306" s="4">
        <f>-PPMT('Owner Occupier'!$D$41/12,'FHA Amotization'!$A306,360,'Owner Occupier'!$D$40,0,0)</f>
        <v>1918.0439572216751</v>
      </c>
      <c r="C306" s="4">
        <f>-IPMT('Owner Occupier'!$D$41/12,'FHA Amotization'!$A306,360,'Owner Occupier'!$D$40,0,0)</f>
        <v>436.52966524167584</v>
      </c>
      <c r="D306" s="4">
        <f t="shared" si="12"/>
        <v>2354.5736224633511</v>
      </c>
      <c r="E306" s="3">
        <f t="shared" si="13"/>
        <v>121337.39093454552</v>
      </c>
      <c r="F306" s="4">
        <f>('Owner Occupier'!$H$24-'Owner Occupier'!$D$52)/('Owner Occupier'!$D$56-'Owner Occupier'!$D$52)*B306</f>
        <v>904.85137565831462</v>
      </c>
      <c r="G306" s="4">
        <f t="shared" si="14"/>
        <v>168555.58722006995</v>
      </c>
    </row>
    <row r="307" spans="1:7" x14ac:dyDescent="0.25">
      <c r="A307">
        <v>304</v>
      </c>
      <c r="B307" s="4">
        <f>-PPMT('Owner Occupier'!$D$41/12,'FHA Amotization'!$A307,360,'Owner Occupier'!$D$40,0,0)</f>
        <v>1924.8370295701686</v>
      </c>
      <c r="C307" s="4">
        <f>-IPMT('Owner Occupier'!$D$41/12,'FHA Amotization'!$A307,360,'Owner Occupier'!$D$40,0,0)</f>
        <v>429.73659289318249</v>
      </c>
      <c r="D307" s="4">
        <f t="shared" si="12"/>
        <v>2354.5736224633511</v>
      </c>
      <c r="E307" s="3">
        <f t="shared" si="13"/>
        <v>119412.55390497534</v>
      </c>
      <c r="F307" s="4">
        <f>('Owner Occupier'!$H$24-'Owner Occupier'!$D$52)/('Owner Occupier'!$D$56-'Owner Occupier'!$D$52)*B307</f>
        <v>908.05605761377126</v>
      </c>
      <c r="G307" s="4">
        <f t="shared" si="14"/>
        <v>169463.64327768373</v>
      </c>
    </row>
    <row r="308" spans="1:7" x14ac:dyDescent="0.25">
      <c r="A308">
        <v>305</v>
      </c>
      <c r="B308" s="4">
        <f>-PPMT('Owner Occupier'!$D$41/12,'FHA Amotization'!$A308,360,'Owner Occupier'!$D$40,0,0)</f>
        <v>1931.6541607165632</v>
      </c>
      <c r="C308" s="4">
        <f>-IPMT('Owner Occupier'!$D$41/12,'FHA Amotization'!$A308,360,'Owner Occupier'!$D$40,0,0)</f>
        <v>422.9194617467881</v>
      </c>
      <c r="D308" s="4">
        <f t="shared" si="12"/>
        <v>2354.5736224633511</v>
      </c>
      <c r="E308" s="3">
        <f t="shared" si="13"/>
        <v>117480.89974425879</v>
      </c>
      <c r="F308" s="4">
        <f>('Owner Occupier'!$H$24-'Owner Occupier'!$D$52)/('Owner Occupier'!$D$56-'Owner Occupier'!$D$52)*B308</f>
        <v>911.27208948448674</v>
      </c>
      <c r="G308" s="4">
        <f t="shared" si="14"/>
        <v>170374.91536716823</v>
      </c>
    </row>
    <row r="309" spans="1:7" x14ac:dyDescent="0.25">
      <c r="A309">
        <v>306</v>
      </c>
      <c r="B309" s="4">
        <f>-PPMT('Owner Occupier'!$D$41/12,'FHA Amotization'!$A309,360,'Owner Occupier'!$D$40,0,0)</f>
        <v>1938.4954358691007</v>
      </c>
      <c r="C309" s="4">
        <f>-IPMT('Owner Occupier'!$D$41/12,'FHA Amotization'!$A309,360,'Owner Occupier'!$D$40,0,0)</f>
        <v>416.07818659425027</v>
      </c>
      <c r="D309" s="4">
        <f t="shared" si="12"/>
        <v>2354.5736224633511</v>
      </c>
      <c r="E309" s="3">
        <f t="shared" si="13"/>
        <v>115542.40430838968</v>
      </c>
      <c r="F309" s="4">
        <f>('Owner Occupier'!$H$24-'Owner Occupier'!$D$52)/('Owner Occupier'!$D$56-'Owner Occupier'!$D$52)*B309</f>
        <v>914.49951146807757</v>
      </c>
      <c r="G309" s="4">
        <f t="shared" si="14"/>
        <v>171289.41487863631</v>
      </c>
    </row>
    <row r="310" spans="1:7" x14ac:dyDescent="0.25">
      <c r="A310">
        <v>307</v>
      </c>
      <c r="B310" s="4">
        <f>-PPMT('Owner Occupier'!$D$41/12,'FHA Amotization'!$A310,360,'Owner Occupier'!$D$40,0,0)</f>
        <v>1945.360940537804</v>
      </c>
      <c r="C310" s="4">
        <f>-IPMT('Owner Occupier'!$D$41/12,'FHA Amotization'!$A310,360,'Owner Occupier'!$D$40,0,0)</f>
        <v>409.2126819255472</v>
      </c>
      <c r="D310" s="4">
        <f t="shared" si="12"/>
        <v>2354.5736224633511</v>
      </c>
      <c r="E310" s="3">
        <f t="shared" si="13"/>
        <v>113597.04336785187</v>
      </c>
      <c r="F310" s="4">
        <f>('Owner Occupier'!$H$24-'Owner Occupier'!$D$52)/('Owner Occupier'!$D$56-'Owner Occupier'!$D$52)*B310</f>
        <v>917.73836390452709</v>
      </c>
      <c r="G310" s="4">
        <f t="shared" si="14"/>
        <v>172207.15324254084</v>
      </c>
    </row>
    <row r="311" spans="1:7" x14ac:dyDescent="0.25">
      <c r="A311">
        <v>308</v>
      </c>
      <c r="B311" s="4">
        <f>-PPMT('Owner Occupier'!$D$41/12,'FHA Amotization'!$A311,360,'Owner Occupier'!$D$40,0,0)</f>
        <v>1952.250760535542</v>
      </c>
      <c r="C311" s="4">
        <f>-IPMT('Owner Occupier'!$D$41/12,'FHA Amotization'!$A311,360,'Owner Occupier'!$D$40,0,0)</f>
        <v>402.32286192780913</v>
      </c>
      <c r="D311" s="4">
        <f t="shared" si="12"/>
        <v>2354.5736224633511</v>
      </c>
      <c r="E311" s="3">
        <f t="shared" si="13"/>
        <v>111644.79260731634</v>
      </c>
      <c r="F311" s="4">
        <f>('Owner Occupier'!$H$24-'Owner Occupier'!$D$52)/('Owner Occupier'!$D$56-'Owner Occupier'!$D$52)*B311</f>
        <v>920.98868727668889</v>
      </c>
      <c r="G311" s="4">
        <f t="shared" si="14"/>
        <v>173128.14192981753</v>
      </c>
    </row>
    <row r="312" spans="1:7" x14ac:dyDescent="0.25">
      <c r="A312">
        <v>309</v>
      </c>
      <c r="B312" s="4">
        <f>-PPMT('Owner Occupier'!$D$41/12,'FHA Amotization'!$A312,360,'Owner Occupier'!$D$40,0,0)</f>
        <v>1959.1649819791055</v>
      </c>
      <c r="C312" s="4">
        <f>-IPMT('Owner Occupier'!$D$41/12,'FHA Amotization'!$A312,360,'Owner Occupier'!$D$40,0,0)</f>
        <v>395.40864048424572</v>
      </c>
      <c r="D312" s="4">
        <f t="shared" si="12"/>
        <v>2354.5736224633511</v>
      </c>
      <c r="E312" s="3">
        <f t="shared" si="13"/>
        <v>109685.62762533723</v>
      </c>
      <c r="F312" s="4">
        <f>('Owner Occupier'!$H$24-'Owner Occupier'!$D$52)/('Owner Occupier'!$D$56-'Owner Occupier'!$D$52)*B312</f>
        <v>924.25052221079397</v>
      </c>
      <c r="G312" s="4">
        <f t="shared" si="14"/>
        <v>174052.39245202832</v>
      </c>
    </row>
    <row r="313" spans="1:7" x14ac:dyDescent="0.25">
      <c r="A313">
        <v>310</v>
      </c>
      <c r="B313" s="4">
        <f>-PPMT('Owner Occupier'!$D$41/12,'FHA Amotization'!$A313,360,'Owner Occupier'!$D$40,0,0)</f>
        <v>1966.1036912902814</v>
      </c>
      <c r="C313" s="4">
        <f>-IPMT('Owner Occupier'!$D$41/12,'FHA Amotization'!$A313,360,'Owner Occupier'!$D$40,0,0)</f>
        <v>388.46993117306971</v>
      </c>
      <c r="D313" s="4">
        <f t="shared" si="12"/>
        <v>2354.5736224633511</v>
      </c>
      <c r="E313" s="3">
        <f t="shared" si="13"/>
        <v>107719.52393404696</v>
      </c>
      <c r="F313" s="4">
        <f>('Owner Occupier'!$H$24-'Owner Occupier'!$D$52)/('Owner Occupier'!$D$56-'Owner Occupier'!$D$52)*B313</f>
        <v>927.5239094769571</v>
      </c>
      <c r="G313" s="4">
        <f t="shared" si="14"/>
        <v>174979.91636150528</v>
      </c>
    </row>
    <row r="314" spans="1:7" x14ac:dyDescent="0.25">
      <c r="A314">
        <v>311</v>
      </c>
      <c r="B314" s="4">
        <f>-PPMT('Owner Occupier'!$D$41/12,'FHA Amotization'!$A314,360,'Owner Occupier'!$D$40,0,0)</f>
        <v>1973.0669751969344</v>
      </c>
      <c r="C314" s="4">
        <f>-IPMT('Owner Occupier'!$D$41/12,'FHA Amotization'!$A314,360,'Owner Occupier'!$D$40,0,0)</f>
        <v>381.50664726641662</v>
      </c>
      <c r="D314" s="4">
        <f t="shared" si="12"/>
        <v>2354.5736224633511</v>
      </c>
      <c r="E314" s="3">
        <f t="shared" si="13"/>
        <v>105746.45695885002</v>
      </c>
      <c r="F314" s="4">
        <f>('Owner Occupier'!$H$24-'Owner Occupier'!$D$52)/('Owner Occupier'!$D$56-'Owner Occupier'!$D$52)*B314</f>
        <v>930.80888998968794</v>
      </c>
      <c r="G314" s="4">
        <f t="shared" si="14"/>
        <v>175910.72525149497</v>
      </c>
    </row>
    <row r="315" spans="1:7" x14ac:dyDescent="0.25">
      <c r="A315">
        <v>312</v>
      </c>
      <c r="B315" s="4">
        <f>-PPMT('Owner Occupier'!$D$41/12,'FHA Amotization'!$A315,360,'Owner Occupier'!$D$40,0,0)</f>
        <v>1980.0549207340903</v>
      </c>
      <c r="C315" s="4">
        <f>-IPMT('Owner Occupier'!$D$41/12,'FHA Amotization'!$A315,360,'Owner Occupier'!$D$40,0,0)</f>
        <v>374.51870172926084</v>
      </c>
      <c r="D315" s="4">
        <f t="shared" si="12"/>
        <v>2354.5736224633511</v>
      </c>
      <c r="E315" s="3">
        <f t="shared" si="13"/>
        <v>103766.40203811592</v>
      </c>
      <c r="F315" s="4">
        <f>('Owner Occupier'!$H$24-'Owner Occupier'!$D$52)/('Owner Occupier'!$D$56-'Owner Occupier'!$D$52)*B315</f>
        <v>934.10550480840141</v>
      </c>
      <c r="G315" s="4">
        <f t="shared" si="14"/>
        <v>176844.83075630336</v>
      </c>
    </row>
    <row r="316" spans="1:7" x14ac:dyDescent="0.25">
      <c r="A316">
        <v>313</v>
      </c>
      <c r="B316" s="4">
        <f>-PPMT('Owner Occupier'!$D$41/12,'FHA Amotization'!$A316,360,'Owner Occupier'!$D$40,0,0)</f>
        <v>1987.0676152450235</v>
      </c>
      <c r="C316" s="4">
        <f>-IPMT('Owner Occupier'!$D$41/12,'FHA Amotization'!$A316,360,'Owner Occupier'!$D$40,0,0)</f>
        <v>367.50600721832768</v>
      </c>
      <c r="D316" s="4">
        <f t="shared" si="12"/>
        <v>2354.5736224633511</v>
      </c>
      <c r="E316" s="3">
        <f t="shared" si="13"/>
        <v>101779.3344228709</v>
      </c>
      <c r="F316" s="4">
        <f>('Owner Occupier'!$H$24-'Owner Occupier'!$D$52)/('Owner Occupier'!$D$56-'Owner Occupier'!$D$52)*B316</f>
        <v>937.41379513793117</v>
      </c>
      <c r="G316" s="4">
        <f t="shared" si="14"/>
        <v>177782.24455144128</v>
      </c>
    </row>
    <row r="317" spans="1:7" x14ac:dyDescent="0.25">
      <c r="A317">
        <v>314</v>
      </c>
      <c r="B317" s="4">
        <f>-PPMT('Owner Occupier'!$D$41/12,'FHA Amotization'!$A317,360,'Owner Occupier'!$D$40,0,0)</f>
        <v>1994.1051463823496</v>
      </c>
      <c r="C317" s="4">
        <f>-IPMT('Owner Occupier'!$D$41/12,'FHA Amotization'!$A317,360,'Owner Occupier'!$D$40,0,0)</f>
        <v>360.46847608100148</v>
      </c>
      <c r="D317" s="4">
        <f t="shared" si="12"/>
        <v>2354.5736224633511</v>
      </c>
      <c r="E317" s="3">
        <f t="shared" si="13"/>
        <v>99785.22927648855</v>
      </c>
      <c r="F317" s="4">
        <f>('Owner Occupier'!$H$24-'Owner Occupier'!$D$52)/('Owner Occupier'!$D$56-'Owner Occupier'!$D$52)*B317</f>
        <v>940.73380232904469</v>
      </c>
      <c r="G317" s="4">
        <f t="shared" si="14"/>
        <v>178722.97835377033</v>
      </c>
    </row>
    <row r="318" spans="1:7" x14ac:dyDescent="0.25">
      <c r="A318">
        <v>315</v>
      </c>
      <c r="B318" s="4">
        <f>-PPMT('Owner Occupier'!$D$41/12,'FHA Amotization'!$A318,360,'Owner Occupier'!$D$40,0,0)</f>
        <v>2001.1676021091205</v>
      </c>
      <c r="C318" s="4">
        <f>-IPMT('Owner Occupier'!$D$41/12,'FHA Amotization'!$A318,360,'Owner Occupier'!$D$40,0,0)</f>
        <v>353.40602035423069</v>
      </c>
      <c r="D318" s="4">
        <f t="shared" si="12"/>
        <v>2354.5736224633511</v>
      </c>
      <c r="E318" s="3">
        <f t="shared" si="13"/>
        <v>97784.061674379423</v>
      </c>
      <c r="F318" s="4">
        <f>('Owner Occupier'!$H$24-'Owner Occupier'!$D$52)/('Owner Occupier'!$D$56-'Owner Occupier'!$D$52)*B318</f>
        <v>944.06556787896011</v>
      </c>
      <c r="G318" s="4">
        <f t="shared" si="14"/>
        <v>179667.04392164928</v>
      </c>
    </row>
    <row r="319" spans="1:7" x14ac:dyDescent="0.25">
      <c r="A319">
        <v>316</v>
      </c>
      <c r="B319" s="4">
        <f>-PPMT('Owner Occupier'!$D$41/12,'FHA Amotization'!$A319,360,'Owner Occupier'!$D$40,0,0)</f>
        <v>2008.2550706999236</v>
      </c>
      <c r="C319" s="4">
        <f>-IPMT('Owner Occupier'!$D$41/12,'FHA Amotization'!$A319,360,'Owner Occupier'!$D$40,0,0)</f>
        <v>346.31855176342754</v>
      </c>
      <c r="D319" s="4">
        <f t="shared" si="12"/>
        <v>2354.5736224633511</v>
      </c>
      <c r="E319" s="3">
        <f t="shared" si="13"/>
        <v>95775.806603679506</v>
      </c>
      <c r="F319" s="4">
        <f>('Owner Occupier'!$H$24-'Owner Occupier'!$D$52)/('Owner Occupier'!$D$56-'Owner Occupier'!$D$52)*B319</f>
        <v>947.4091334318648</v>
      </c>
      <c r="G319" s="4">
        <f t="shared" si="14"/>
        <v>180614.45305508113</v>
      </c>
    </row>
    <row r="320" spans="1:7" x14ac:dyDescent="0.25">
      <c r="A320">
        <v>317</v>
      </c>
      <c r="B320" s="4">
        <f>-PPMT('Owner Occupier'!$D$41/12,'FHA Amotization'!$A320,360,'Owner Occupier'!$D$40,0,0)</f>
        <v>2015.3676407419857</v>
      </c>
      <c r="C320" s="4">
        <f>-IPMT('Owner Occupier'!$D$41/12,'FHA Amotization'!$A320,360,'Owner Occupier'!$D$40,0,0)</f>
        <v>339.20598172136528</v>
      </c>
      <c r="D320" s="4">
        <f t="shared" si="12"/>
        <v>2354.5736224633511</v>
      </c>
      <c r="E320" s="3">
        <f t="shared" si="13"/>
        <v>93760.438962937522</v>
      </c>
      <c r="F320" s="4">
        <f>('Owner Occupier'!$H$24-'Owner Occupier'!$D$52)/('Owner Occupier'!$D$56-'Owner Occupier'!$D$52)*B320</f>
        <v>950.76454077943583</v>
      </c>
      <c r="G320" s="4">
        <f t="shared" si="14"/>
        <v>181565.21759586057</v>
      </c>
    </row>
    <row r="321" spans="1:7" x14ac:dyDescent="0.25">
      <c r="A321">
        <v>318</v>
      </c>
      <c r="B321" s="4">
        <f>-PPMT('Owner Occupier'!$D$41/12,'FHA Amotization'!$A321,360,'Owner Occupier'!$D$40,0,0)</f>
        <v>2022.5054011362806</v>
      </c>
      <c r="C321" s="4">
        <f>-IPMT('Owner Occupier'!$D$41/12,'FHA Amotization'!$A321,360,'Owner Occupier'!$D$40,0,0)</f>
        <v>332.06822132707077</v>
      </c>
      <c r="D321" s="4">
        <f t="shared" si="12"/>
        <v>2354.5736224633515</v>
      </c>
      <c r="E321" s="3">
        <f t="shared" si="13"/>
        <v>91737.933561801241</v>
      </c>
      <c r="F321" s="4">
        <f>('Owner Occupier'!$H$24-'Owner Occupier'!$D$52)/('Owner Occupier'!$D$56-'Owner Occupier'!$D$52)*B321</f>
        <v>954.13183186136325</v>
      </c>
      <c r="G321" s="4">
        <f t="shared" si="14"/>
        <v>182519.34942772193</v>
      </c>
    </row>
    <row r="322" spans="1:7" x14ac:dyDescent="0.25">
      <c r="A322">
        <v>319</v>
      </c>
      <c r="B322" s="4">
        <f>-PPMT('Owner Occupier'!$D$41/12,'FHA Amotization'!$A322,360,'Owner Occupier'!$D$40,0,0)</f>
        <v>2029.6684410986381</v>
      </c>
      <c r="C322" s="4">
        <f>-IPMT('Owner Occupier'!$D$41/12,'FHA Amotization'!$A322,360,'Owner Occupier'!$D$40,0,0)</f>
        <v>324.90518136471309</v>
      </c>
      <c r="D322" s="4">
        <f t="shared" si="12"/>
        <v>2354.5736224633511</v>
      </c>
      <c r="E322" s="3">
        <f t="shared" si="13"/>
        <v>89708.265120702607</v>
      </c>
      <c r="F322" s="4">
        <f>('Owner Occupier'!$H$24-'Owner Occupier'!$D$52)/('Owner Occupier'!$D$56-'Owner Occupier'!$D$52)*B322</f>
        <v>957.51104876587215</v>
      </c>
      <c r="G322" s="4">
        <f t="shared" si="14"/>
        <v>183476.86047648781</v>
      </c>
    </row>
    <row r="323" spans="1:7" x14ac:dyDescent="0.25">
      <c r="A323">
        <v>320</v>
      </c>
      <c r="B323" s="4">
        <f>-PPMT('Owner Occupier'!$D$41/12,'FHA Amotization'!$A323,360,'Owner Occupier'!$D$40,0,0)</f>
        <v>2036.8568501608625</v>
      </c>
      <c r="C323" s="4">
        <f>-IPMT('Owner Occupier'!$D$41/12,'FHA Amotization'!$A323,360,'Owner Occupier'!$D$40,0,0)</f>
        <v>317.71677230248872</v>
      </c>
      <c r="D323" s="4">
        <f t="shared" si="12"/>
        <v>2354.5736224633511</v>
      </c>
      <c r="E323" s="3">
        <f t="shared" si="13"/>
        <v>87671.408270541739</v>
      </c>
      <c r="F323" s="4">
        <f>('Owner Occupier'!$H$24-'Owner Occupier'!$D$52)/('Owner Occupier'!$D$56-'Owner Occupier'!$D$52)*B323</f>
        <v>960.90223373025128</v>
      </c>
      <c r="G323" s="4">
        <f t="shared" si="14"/>
        <v>184437.76271021806</v>
      </c>
    </row>
    <row r="324" spans="1:7" x14ac:dyDescent="0.25">
      <c r="A324">
        <v>321</v>
      </c>
      <c r="B324" s="4">
        <f>-PPMT('Owner Occupier'!$D$41/12,'FHA Amotization'!$A324,360,'Owner Occupier'!$D$40,0,0)</f>
        <v>2044.070718171849</v>
      </c>
      <c r="C324" s="4">
        <f>-IPMT('Owner Occupier'!$D$41/12,'FHA Amotization'!$A324,360,'Owner Occupier'!$D$40,0,0)</f>
        <v>310.50290429150238</v>
      </c>
      <c r="D324" s="4">
        <f t="shared" si="12"/>
        <v>2354.5736224633515</v>
      </c>
      <c r="E324" s="3">
        <f t="shared" si="13"/>
        <v>85627.337552369892</v>
      </c>
      <c r="F324" s="4">
        <f>('Owner Occupier'!$H$24-'Owner Occupier'!$D$52)/('Owner Occupier'!$D$56-'Owner Occupier'!$D$52)*B324</f>
        <v>964.30542914137925</v>
      </c>
      <c r="G324" s="4">
        <f t="shared" si="14"/>
        <v>185402.06813935944</v>
      </c>
    </row>
    <row r="325" spans="1:7" x14ac:dyDescent="0.25">
      <c r="A325">
        <v>322</v>
      </c>
      <c r="B325" s="4">
        <f>-PPMT('Owner Occupier'!$D$41/12,'FHA Amotization'!$A325,360,'Owner Occupier'!$D$40,0,0)</f>
        <v>2051.3101352987073</v>
      </c>
      <c r="C325" s="4">
        <f>-IPMT('Owner Occupier'!$D$41/12,'FHA Amotization'!$A325,360,'Owner Occupier'!$D$40,0,0)</f>
        <v>303.26348716464378</v>
      </c>
      <c r="D325" s="4">
        <f t="shared" ref="D325:D363" si="15">B325+C325</f>
        <v>2354.5736224633511</v>
      </c>
      <c r="E325" s="3">
        <f t="shared" si="13"/>
        <v>83576.027417071178</v>
      </c>
      <c r="F325" s="4">
        <f>('Owner Occupier'!$H$24-'Owner Occupier'!$D$52)/('Owner Occupier'!$D$56-'Owner Occupier'!$D$52)*B325</f>
        <v>967.72067753625493</v>
      </c>
      <c r="G325" s="4">
        <f t="shared" si="14"/>
        <v>186369.78881689569</v>
      </c>
    </row>
    <row r="326" spans="1:7" x14ac:dyDescent="0.25">
      <c r="A326">
        <v>323</v>
      </c>
      <c r="B326" s="4">
        <f>-PPMT('Owner Occupier'!$D$41/12,'FHA Amotization'!$A326,360,'Owner Occupier'!$D$40,0,0)</f>
        <v>2058.5751920278904</v>
      </c>
      <c r="C326" s="4">
        <f>-IPMT('Owner Occupier'!$D$41/12,'FHA Amotization'!$A326,360,'Owner Occupier'!$D$40,0,0)</f>
        <v>295.99843043546088</v>
      </c>
      <c r="D326" s="4">
        <f t="shared" si="15"/>
        <v>2354.5736224633511</v>
      </c>
      <c r="E326" s="3">
        <f t="shared" ref="E326:E363" si="16">E325-B326</f>
        <v>81517.452225043293</v>
      </c>
      <c r="F326" s="4">
        <f>('Owner Occupier'!$H$24-'Owner Occupier'!$D$52)/('Owner Occupier'!$D$56-'Owner Occupier'!$D$52)*B326</f>
        <v>971.14802160252918</v>
      </c>
      <c r="G326" s="4">
        <f t="shared" ref="G326:G363" si="17">F326+G325</f>
        <v>187340.93683849822</v>
      </c>
    </row>
    <row r="327" spans="1:7" x14ac:dyDescent="0.25">
      <c r="A327">
        <v>324</v>
      </c>
      <c r="B327" s="4">
        <f>-PPMT('Owner Occupier'!$D$41/12,'FHA Amotization'!$A327,360,'Owner Occupier'!$D$40,0,0)</f>
        <v>2065.8659791663222</v>
      </c>
      <c r="C327" s="4">
        <f>-IPMT('Owner Occupier'!$D$41/12,'FHA Amotization'!$A327,360,'Owner Occupier'!$D$40,0,0)</f>
        <v>288.70764329702877</v>
      </c>
      <c r="D327" s="4">
        <f t="shared" si="15"/>
        <v>2354.5736224633511</v>
      </c>
      <c r="E327" s="3">
        <f t="shared" si="16"/>
        <v>79451.58624587697</v>
      </c>
      <c r="F327" s="4">
        <f>('Owner Occupier'!$H$24-'Owner Occupier'!$D$52)/('Owner Occupier'!$D$56-'Owner Occupier'!$D$52)*B327</f>
        <v>974.58750417903798</v>
      </c>
      <c r="G327" s="4">
        <f t="shared" si="17"/>
        <v>188315.52434267726</v>
      </c>
    </row>
    <row r="328" spans="1:7" x14ac:dyDescent="0.25">
      <c r="A328">
        <v>325</v>
      </c>
      <c r="B328" s="4">
        <f>-PPMT('Owner Occupier'!$D$41/12,'FHA Amotization'!$A328,360,'Owner Occupier'!$D$40,0,0)</f>
        <v>2073.1825878425366</v>
      </c>
      <c r="C328" s="4">
        <f>-IPMT('Owner Occupier'!$D$41/12,'FHA Amotization'!$A328,360,'Owner Occupier'!$D$40,0,0)</f>
        <v>281.39103462081471</v>
      </c>
      <c r="D328" s="4">
        <f t="shared" si="15"/>
        <v>2354.5736224633511</v>
      </c>
      <c r="E328" s="3">
        <f t="shared" si="16"/>
        <v>77378.40365803444</v>
      </c>
      <c r="F328" s="4">
        <f>('Owner Occupier'!$H$24-'Owner Occupier'!$D$52)/('Owner Occupier'!$D$56-'Owner Occupier'!$D$52)*B328</f>
        <v>978.03916825633894</v>
      </c>
      <c r="G328" s="4">
        <f t="shared" si="17"/>
        <v>189293.5635109336</v>
      </c>
    </row>
    <row r="329" spans="1:7" x14ac:dyDescent="0.25">
      <c r="A329">
        <v>326</v>
      </c>
      <c r="B329" s="4">
        <f>-PPMT('Owner Occupier'!$D$41/12,'FHA Amotization'!$A329,360,'Owner Occupier'!$D$40,0,0)</f>
        <v>2080.5251095078124</v>
      </c>
      <c r="C329" s="4">
        <f>-IPMT('Owner Occupier'!$D$41/12,'FHA Amotization'!$A329,360,'Owner Occupier'!$D$40,0,0)</f>
        <v>274.04851295553902</v>
      </c>
      <c r="D329" s="4">
        <f t="shared" si="15"/>
        <v>2354.5736224633515</v>
      </c>
      <c r="E329" s="3">
        <f t="shared" si="16"/>
        <v>75297.878548526627</v>
      </c>
      <c r="F329" s="4">
        <f>('Owner Occupier'!$H$24-'Owner Occupier'!$D$52)/('Owner Occupier'!$D$56-'Owner Occupier'!$D$52)*B329</f>
        <v>981.50305697724684</v>
      </c>
      <c r="G329" s="4">
        <f t="shared" si="17"/>
        <v>190275.06656791084</v>
      </c>
    </row>
    <row r="330" spans="1:7" x14ac:dyDescent="0.25">
      <c r="A330">
        <v>327</v>
      </c>
      <c r="B330" s="4">
        <f>-PPMT('Owner Occupier'!$D$41/12,'FHA Amotization'!$A330,360,'Owner Occupier'!$D$40,0,0)</f>
        <v>2087.8936359373192</v>
      </c>
      <c r="C330" s="4">
        <f>-IPMT('Owner Occupier'!$D$41/12,'FHA Amotization'!$A330,360,'Owner Occupier'!$D$40,0,0)</f>
        <v>266.67998652603217</v>
      </c>
      <c r="D330" s="4">
        <f t="shared" si="15"/>
        <v>2354.5736224633515</v>
      </c>
      <c r="E330" s="3">
        <f t="shared" si="16"/>
        <v>73209.984912589309</v>
      </c>
      <c r="F330" s="4">
        <f>('Owner Occupier'!$H$24-'Owner Occupier'!$D$52)/('Owner Occupier'!$D$56-'Owner Occupier'!$D$52)*B330</f>
        <v>984.97921363737464</v>
      </c>
      <c r="G330" s="4">
        <f t="shared" si="17"/>
        <v>191260.04578154822</v>
      </c>
    </row>
    <row r="331" spans="1:7" x14ac:dyDescent="0.25">
      <c r="A331">
        <v>328</v>
      </c>
      <c r="B331" s="4">
        <f>-PPMT('Owner Occupier'!$D$41/12,'FHA Amotization'!$A331,360,'Owner Occupier'!$D$40,0,0)</f>
        <v>2095.2882592312635</v>
      </c>
      <c r="C331" s="4">
        <f>-IPMT('Owner Occupier'!$D$41/12,'FHA Amotization'!$A331,360,'Owner Occupier'!$D$40,0,0)</f>
        <v>259.28536323208749</v>
      </c>
      <c r="D331" s="4">
        <f t="shared" si="15"/>
        <v>2354.5736224633511</v>
      </c>
      <c r="E331" s="3">
        <f t="shared" si="16"/>
        <v>71114.696653358042</v>
      </c>
      <c r="F331" s="4">
        <f>('Owner Occupier'!$H$24-'Owner Occupier'!$D$52)/('Owner Occupier'!$D$56-'Owner Occupier'!$D$52)*B331</f>
        <v>988.46768168567348</v>
      </c>
      <c r="G331" s="4">
        <f t="shared" si="17"/>
        <v>192248.51346323389</v>
      </c>
    </row>
    <row r="332" spans="1:7" x14ac:dyDescent="0.25">
      <c r="A332">
        <v>329</v>
      </c>
      <c r="B332" s="4">
        <f>-PPMT('Owner Occupier'!$D$41/12,'FHA Amotization'!$A332,360,'Owner Occupier'!$D$40,0,0)</f>
        <v>2102.7090718160407</v>
      </c>
      <c r="C332" s="4">
        <f>-IPMT('Owner Occupier'!$D$41/12,'FHA Amotization'!$A332,360,'Owner Occupier'!$D$40,0,0)</f>
        <v>251.8645506473101</v>
      </c>
      <c r="D332" s="4">
        <f t="shared" si="15"/>
        <v>2354.5736224633506</v>
      </c>
      <c r="E332" s="3">
        <f t="shared" si="16"/>
        <v>69011.987581541995</v>
      </c>
      <c r="F332" s="4">
        <f>('Owner Occupier'!$H$24-'Owner Occupier'!$D$52)/('Owner Occupier'!$D$56-'Owner Occupier'!$D$52)*B332</f>
        <v>991.96850472497681</v>
      </c>
      <c r="G332" s="4">
        <f t="shared" si="17"/>
        <v>193240.48196795885</v>
      </c>
    </row>
    <row r="333" spans="1:7" x14ac:dyDescent="0.25">
      <c r="A333">
        <v>330</v>
      </c>
      <c r="B333" s="4">
        <f>-PPMT('Owner Occupier'!$D$41/12,'FHA Amotization'!$A333,360,'Owner Occupier'!$D$40,0,0)</f>
        <v>2110.1561664453893</v>
      </c>
      <c r="C333" s="4">
        <f>-IPMT('Owner Occupier'!$D$41/12,'FHA Amotization'!$A333,360,'Owner Occupier'!$D$40,0,0)</f>
        <v>244.41745601796165</v>
      </c>
      <c r="D333" s="4">
        <f t="shared" si="15"/>
        <v>2354.5736224633511</v>
      </c>
      <c r="E333" s="3">
        <f t="shared" si="16"/>
        <v>66901.831415096603</v>
      </c>
      <c r="F333" s="4">
        <f>('Owner Occupier'!$H$24-'Owner Occupier'!$D$52)/('Owner Occupier'!$D$56-'Owner Occupier'!$D$52)*B333</f>
        <v>995.48172651254447</v>
      </c>
      <c r="G333" s="4">
        <f t="shared" si="17"/>
        <v>194235.9636944714</v>
      </c>
    </row>
    <row r="334" spans="1:7" x14ac:dyDescent="0.25">
      <c r="A334">
        <v>331</v>
      </c>
      <c r="B334" s="4">
        <f>-PPMT('Owner Occupier'!$D$41/12,'FHA Amotization'!$A334,360,'Owner Occupier'!$D$40,0,0)</f>
        <v>2117.6296362015501</v>
      </c>
      <c r="C334" s="4">
        <f>-IPMT('Owner Occupier'!$D$41/12,'FHA Amotization'!$A334,360,'Owner Occupier'!$D$40,0,0)</f>
        <v>236.94398626180086</v>
      </c>
      <c r="D334" s="4">
        <f t="shared" si="15"/>
        <v>2354.5736224633511</v>
      </c>
      <c r="E334" s="3">
        <f t="shared" si="16"/>
        <v>64784.201778895054</v>
      </c>
      <c r="F334" s="4">
        <f>('Owner Occupier'!$H$24-'Owner Occupier'!$D$52)/('Owner Occupier'!$D$56-'Owner Occupier'!$D$52)*B334</f>
        <v>999.00739096060977</v>
      </c>
      <c r="G334" s="4">
        <f t="shared" si="17"/>
        <v>195234.97108543201</v>
      </c>
    </row>
    <row r="335" spans="1:7" x14ac:dyDescent="0.25">
      <c r="A335">
        <v>332</v>
      </c>
      <c r="B335" s="4">
        <f>-PPMT('Owner Occupier'!$D$41/12,'FHA Amotization'!$A335,360,'Owner Occupier'!$D$40,0,0)</f>
        <v>2125.1295744964305</v>
      </c>
      <c r="C335" s="4">
        <f>-IPMT('Owner Occupier'!$D$41/12,'FHA Amotization'!$A335,360,'Owner Occupier'!$D$40,0,0)</f>
        <v>229.44404796692038</v>
      </c>
      <c r="D335" s="4">
        <f t="shared" si="15"/>
        <v>2354.5736224633511</v>
      </c>
      <c r="E335" s="3">
        <f t="shared" si="16"/>
        <v>62659.072204398624</v>
      </c>
      <c r="F335" s="4">
        <f>('Owner Occupier'!$H$24-'Owner Occupier'!$D$52)/('Owner Occupier'!$D$56-'Owner Occupier'!$D$52)*B335</f>
        <v>1002.5455421369285</v>
      </c>
      <c r="G335" s="4">
        <f t="shared" si="17"/>
        <v>196237.51662756896</v>
      </c>
    </row>
    <row r="336" spans="1:7" x14ac:dyDescent="0.25">
      <c r="A336">
        <v>333</v>
      </c>
      <c r="B336" s="4">
        <f>-PPMT('Owner Occupier'!$D$41/12,'FHA Amotization'!$A336,360,'Owner Occupier'!$D$40,0,0)</f>
        <v>2132.6560750727726</v>
      </c>
      <c r="C336" s="4">
        <f>-IPMT('Owner Occupier'!$D$41/12,'FHA Amotization'!$A336,360,'Owner Occupier'!$D$40,0,0)</f>
        <v>221.91754739057887</v>
      </c>
      <c r="D336" s="4">
        <f t="shared" si="15"/>
        <v>2354.5736224633515</v>
      </c>
      <c r="E336" s="3">
        <f t="shared" si="16"/>
        <v>60526.416129325851</v>
      </c>
      <c r="F336" s="4">
        <f>('Owner Occupier'!$H$24-'Owner Occupier'!$D$52)/('Owner Occupier'!$D$56-'Owner Occupier'!$D$52)*B336</f>
        <v>1006.0962242653304</v>
      </c>
      <c r="G336" s="4">
        <f t="shared" si="17"/>
        <v>197243.61285183427</v>
      </c>
    </row>
    <row r="337" spans="1:7" x14ac:dyDescent="0.25">
      <c r="A337">
        <v>334</v>
      </c>
      <c r="B337" s="4">
        <f>-PPMT('Owner Occupier'!$D$41/12,'FHA Amotization'!$A337,360,'Owner Occupier'!$D$40,0,0)</f>
        <v>2140.2092320053216</v>
      </c>
      <c r="C337" s="4">
        <f>-IPMT('Owner Occupier'!$D$41/12,'FHA Amotization'!$A337,360,'Owner Occupier'!$D$40,0,0)</f>
        <v>214.3643904580295</v>
      </c>
      <c r="D337" s="4">
        <f t="shared" si="15"/>
        <v>2354.5736224633511</v>
      </c>
      <c r="E337" s="3">
        <f t="shared" si="16"/>
        <v>58386.206897320531</v>
      </c>
      <c r="F337" s="4">
        <f>('Owner Occupier'!$H$24-'Owner Occupier'!$D$52)/('Owner Occupier'!$D$56-'Owner Occupier'!$D$52)*B337</f>
        <v>1009.65948172627</v>
      </c>
      <c r="G337" s="4">
        <f t="shared" si="17"/>
        <v>198253.27233356054</v>
      </c>
    </row>
    <row r="338" spans="1:7" x14ac:dyDescent="0.25">
      <c r="A338">
        <v>335</v>
      </c>
      <c r="B338" s="4">
        <f>-PPMT('Owner Occupier'!$D$41/12,'FHA Amotization'!$A338,360,'Owner Occupier'!$D$40,0,0)</f>
        <v>2147.7891397020071</v>
      </c>
      <c r="C338" s="4">
        <f>-IPMT('Owner Occupier'!$D$41/12,'FHA Amotization'!$A338,360,'Owner Occupier'!$D$40,0,0)</f>
        <v>206.78448276134392</v>
      </c>
      <c r="D338" s="4">
        <f t="shared" si="15"/>
        <v>2354.5736224633511</v>
      </c>
      <c r="E338" s="3">
        <f t="shared" si="16"/>
        <v>56238.417757618525</v>
      </c>
      <c r="F338" s="4">
        <f>('Owner Occupier'!$H$24-'Owner Occupier'!$D$52)/('Owner Occupier'!$D$56-'Owner Occupier'!$D$52)*B338</f>
        <v>1013.2353590573838</v>
      </c>
      <c r="G338" s="4">
        <f t="shared" si="17"/>
        <v>199266.50769261792</v>
      </c>
    </row>
    <row r="339" spans="1:7" x14ac:dyDescent="0.25">
      <c r="A339">
        <v>336</v>
      </c>
      <c r="B339" s="4">
        <f>-PPMT('Owner Occupier'!$D$41/12,'FHA Amotization'!$A339,360,'Owner Occupier'!$D$40,0,0)</f>
        <v>2155.3958929051187</v>
      </c>
      <c r="C339" s="4">
        <f>-IPMT('Owner Occupier'!$D$41/12,'FHA Amotization'!$A339,360,'Owner Occupier'!$D$40,0,0)</f>
        <v>199.17772955823264</v>
      </c>
      <c r="D339" s="4">
        <f t="shared" si="15"/>
        <v>2354.5736224633515</v>
      </c>
      <c r="E339" s="3">
        <f t="shared" si="16"/>
        <v>54083.021864713402</v>
      </c>
      <c r="F339" s="4">
        <f>('Owner Occupier'!$H$24-'Owner Occupier'!$D$52)/('Owner Occupier'!$D$56-'Owner Occupier'!$D$52)*B339</f>
        <v>1016.8239009540455</v>
      </c>
      <c r="G339" s="4">
        <f t="shared" si="17"/>
        <v>200283.33159357196</v>
      </c>
    </row>
    <row r="340" spans="1:7" x14ac:dyDescent="0.25">
      <c r="A340">
        <v>337</v>
      </c>
      <c r="B340" s="4">
        <f>-PPMT('Owner Occupier'!$D$41/12,'FHA Amotization'!$A340,360,'Owner Occupier'!$D$40,0,0)</f>
        <v>2163.0295866924907</v>
      </c>
      <c r="C340" s="4">
        <f>-IPMT('Owner Occupier'!$D$41/12,'FHA Amotization'!$A340,360,'Owner Occupier'!$D$40,0,0)</f>
        <v>191.54403577086038</v>
      </c>
      <c r="D340" s="4">
        <f t="shared" si="15"/>
        <v>2354.5736224633511</v>
      </c>
      <c r="E340" s="3">
        <f t="shared" si="16"/>
        <v>51919.992278020909</v>
      </c>
      <c r="F340" s="4">
        <f>('Owner Occupier'!$H$24-'Owner Occupier'!$D$52)/('Owner Occupier'!$D$56-'Owner Occupier'!$D$52)*B340</f>
        <v>1020.4251522699243</v>
      </c>
      <c r="G340" s="4">
        <f t="shared" si="17"/>
        <v>201303.75674584188</v>
      </c>
    </row>
    <row r="341" spans="1:7" x14ac:dyDescent="0.25">
      <c r="A341">
        <v>338</v>
      </c>
      <c r="B341" s="4">
        <f>-PPMT('Owner Occupier'!$D$41/12,'FHA Amotization'!$A341,360,'Owner Occupier'!$D$40,0,0)</f>
        <v>2170.6903164786936</v>
      </c>
      <c r="C341" s="4">
        <f>-IPMT('Owner Occupier'!$D$41/12,'FHA Amotization'!$A341,360,'Owner Occupier'!$D$40,0,0)</f>
        <v>183.88330598465782</v>
      </c>
      <c r="D341" s="4">
        <f t="shared" si="15"/>
        <v>2354.5736224633515</v>
      </c>
      <c r="E341" s="3">
        <f t="shared" si="16"/>
        <v>49749.301961542216</v>
      </c>
      <c r="F341" s="4">
        <f>('Owner Occupier'!$H$24-'Owner Occupier'!$D$52)/('Owner Occupier'!$D$56-'Owner Occupier'!$D$52)*B341</f>
        <v>1024.0391580175472</v>
      </c>
      <c r="G341" s="4">
        <f t="shared" si="17"/>
        <v>202327.79590385943</v>
      </c>
    </row>
    <row r="342" spans="1:7" x14ac:dyDescent="0.25">
      <c r="A342">
        <v>339</v>
      </c>
      <c r="B342" s="4">
        <f>-PPMT('Owner Occupier'!$D$41/12,'FHA Amotization'!$A342,360,'Owner Occupier'!$D$40,0,0)</f>
        <v>2178.3781780162221</v>
      </c>
      <c r="C342" s="4">
        <f>-IPMT('Owner Occupier'!$D$41/12,'FHA Amotization'!$A342,360,'Owner Occupier'!$D$40,0,0)</f>
        <v>176.19544444712909</v>
      </c>
      <c r="D342" s="4">
        <f t="shared" si="15"/>
        <v>2354.5736224633511</v>
      </c>
      <c r="E342" s="3">
        <f t="shared" si="16"/>
        <v>47570.923783525992</v>
      </c>
      <c r="F342" s="4">
        <f>('Owner Occupier'!$H$24-'Owner Occupier'!$D$52)/('Owner Occupier'!$D$56-'Owner Occupier'!$D$52)*B342</f>
        <v>1027.6659633688591</v>
      </c>
      <c r="G342" s="4">
        <f t="shared" si="17"/>
        <v>203355.4618672283</v>
      </c>
    </row>
    <row r="343" spans="1:7" x14ac:dyDescent="0.25">
      <c r="A343">
        <v>340</v>
      </c>
      <c r="B343" s="4">
        <f>-PPMT('Owner Occupier'!$D$41/12,'FHA Amotization'!$A343,360,'Owner Occupier'!$D$40,0,0)</f>
        <v>2186.0932673966963</v>
      </c>
      <c r="C343" s="4">
        <f>-IPMT('Owner Occupier'!$D$41/12,'FHA Amotization'!$A343,360,'Owner Occupier'!$D$40,0,0)</f>
        <v>168.48035506665497</v>
      </c>
      <c r="D343" s="4">
        <f t="shared" si="15"/>
        <v>2354.5736224633511</v>
      </c>
      <c r="E343" s="3">
        <f t="shared" si="16"/>
        <v>45384.830516129296</v>
      </c>
      <c r="F343" s="4">
        <f>('Owner Occupier'!$H$24-'Owner Occupier'!$D$52)/('Owner Occupier'!$D$56-'Owner Occupier'!$D$52)*B343</f>
        <v>1031.3056136557907</v>
      </c>
      <c r="G343" s="4">
        <f t="shared" si="17"/>
        <v>204386.7674808841</v>
      </c>
    </row>
    <row r="344" spans="1:7" x14ac:dyDescent="0.25">
      <c r="A344">
        <v>341</v>
      </c>
      <c r="B344" s="4">
        <f>-PPMT('Owner Occupier'!$D$41/12,'FHA Amotization'!$A344,360,'Owner Occupier'!$D$40,0,0)</f>
        <v>2193.8356810520595</v>
      </c>
      <c r="C344" s="4">
        <f>-IPMT('Owner Occupier'!$D$41/12,'FHA Amotization'!$A344,360,'Owner Occupier'!$D$40,0,0)</f>
        <v>160.73794141129164</v>
      </c>
      <c r="D344" s="4">
        <f t="shared" si="15"/>
        <v>2354.5736224633511</v>
      </c>
      <c r="E344" s="3">
        <f t="shared" si="16"/>
        <v>43190.994835077239</v>
      </c>
      <c r="F344" s="4">
        <f>('Owner Occupier'!$H$24-'Owner Occupier'!$D$52)/('Owner Occupier'!$D$56-'Owner Occupier'!$D$52)*B344</f>
        <v>1034.9581543708214</v>
      </c>
      <c r="G344" s="4">
        <f t="shared" si="17"/>
        <v>205421.72563525493</v>
      </c>
    </row>
    <row r="345" spans="1:7" x14ac:dyDescent="0.25">
      <c r="A345">
        <v>342</v>
      </c>
      <c r="B345" s="4">
        <f>-PPMT('Owner Occupier'!$D$41/12,'FHA Amotization'!$A345,360,'Owner Occupier'!$D$40,0,0)</f>
        <v>2201.6055157557857</v>
      </c>
      <c r="C345" s="4">
        <f>-IPMT('Owner Occupier'!$D$41/12,'FHA Amotization'!$A345,360,'Owner Occupier'!$D$40,0,0)</f>
        <v>152.9681067075656</v>
      </c>
      <c r="D345" s="4">
        <f t="shared" si="15"/>
        <v>2354.5736224633515</v>
      </c>
      <c r="E345" s="3">
        <f t="shared" si="16"/>
        <v>40989.389319321454</v>
      </c>
      <c r="F345" s="4">
        <f>('Owner Occupier'!$H$24-'Owner Occupier'!$D$52)/('Owner Occupier'!$D$56-'Owner Occupier'!$D$52)*B345</f>
        <v>1038.6236311675516</v>
      </c>
      <c r="G345" s="4">
        <f t="shared" si="17"/>
        <v>206460.34926642248</v>
      </c>
    </row>
    <row r="346" spans="1:7" x14ac:dyDescent="0.25">
      <c r="A346">
        <v>343</v>
      </c>
      <c r="B346" s="4">
        <f>-PPMT('Owner Occupier'!$D$41/12,'FHA Amotization'!$A346,360,'Owner Occupier'!$D$40,0,0)</f>
        <v>2209.4028686240872</v>
      </c>
      <c r="C346" s="4">
        <f>-IPMT('Owner Occupier'!$D$41/12,'FHA Amotization'!$A346,360,'Owner Occupier'!$D$40,0,0)</f>
        <v>145.17075383926388</v>
      </c>
      <c r="D346" s="4">
        <f t="shared" si="15"/>
        <v>2354.5736224633511</v>
      </c>
      <c r="E346" s="3">
        <f t="shared" si="16"/>
        <v>38779.986450697368</v>
      </c>
      <c r="F346" s="4">
        <f>('Owner Occupier'!$H$24-'Owner Occupier'!$D$52)/('Owner Occupier'!$D$56-'Owner Occupier'!$D$52)*B346</f>
        <v>1042.3020898612699</v>
      </c>
      <c r="G346" s="4">
        <f t="shared" si="17"/>
        <v>207502.65135628375</v>
      </c>
    </row>
    <row r="347" spans="1:7" x14ac:dyDescent="0.25">
      <c r="A347">
        <v>344</v>
      </c>
      <c r="B347" s="4">
        <f>-PPMT('Owner Occupier'!$D$41/12,'FHA Amotization'!$A347,360,'Owner Occupier'!$D$40,0,0)</f>
        <v>2217.227837117131</v>
      </c>
      <c r="C347" s="4">
        <f>-IPMT('Owner Occupier'!$D$41/12,'FHA Amotization'!$A347,360,'Owner Occupier'!$D$40,0,0)</f>
        <v>137.34578534622025</v>
      </c>
      <c r="D347" s="4">
        <f t="shared" si="15"/>
        <v>2354.5736224633511</v>
      </c>
      <c r="E347" s="3">
        <f t="shared" si="16"/>
        <v>36562.758613580234</v>
      </c>
      <c r="F347" s="4">
        <f>('Owner Occupier'!$H$24-'Owner Occupier'!$D$52)/('Owner Occupier'!$D$56-'Owner Occupier'!$D$52)*B347</f>
        <v>1045.9935764295285</v>
      </c>
      <c r="G347" s="4">
        <f t="shared" si="17"/>
        <v>208548.64493271327</v>
      </c>
    </row>
    <row r="348" spans="1:7" x14ac:dyDescent="0.25">
      <c r="A348">
        <v>345</v>
      </c>
      <c r="B348" s="4">
        <f>-PPMT('Owner Occupier'!$D$41/12,'FHA Amotization'!$A348,360,'Owner Occupier'!$D$40,0,0)</f>
        <v>2225.0805190402539</v>
      </c>
      <c r="C348" s="4">
        <f>-IPMT('Owner Occupier'!$D$41/12,'FHA Amotization'!$A348,360,'Owner Occupier'!$D$40,0,0)</f>
        <v>129.49310342309707</v>
      </c>
      <c r="D348" s="4">
        <f t="shared" si="15"/>
        <v>2354.5736224633511</v>
      </c>
      <c r="E348" s="3">
        <f t="shared" si="16"/>
        <v>34337.678094539981</v>
      </c>
      <c r="F348" s="4">
        <f>('Owner Occupier'!$H$24-'Owner Occupier'!$D$52)/('Owner Occupier'!$D$56-'Owner Occupier'!$D$52)*B348</f>
        <v>1049.6981370127164</v>
      </c>
      <c r="G348" s="4">
        <f t="shared" si="17"/>
        <v>209598.34306972599</v>
      </c>
    </row>
    <row r="349" spans="1:7" x14ac:dyDescent="0.25">
      <c r="A349">
        <v>346</v>
      </c>
      <c r="B349" s="4">
        <f>-PPMT('Owner Occupier'!$D$41/12,'FHA Amotization'!$A349,360,'Owner Occupier'!$D$40,0,0)</f>
        <v>2232.9610125451882</v>
      </c>
      <c r="C349" s="4">
        <f>-IPMT('Owner Occupier'!$D$41/12,'FHA Amotization'!$A349,360,'Owner Occupier'!$D$40,0,0)</f>
        <v>121.61260991816283</v>
      </c>
      <c r="D349" s="4">
        <f t="shared" si="15"/>
        <v>2354.5736224633511</v>
      </c>
      <c r="E349" s="3">
        <f t="shared" si="16"/>
        <v>32104.717081994793</v>
      </c>
      <c r="F349" s="4">
        <f>('Owner Occupier'!$H$24-'Owner Occupier'!$D$52)/('Owner Occupier'!$D$56-'Owner Occupier'!$D$52)*B349</f>
        <v>1053.4158179146364</v>
      </c>
      <c r="G349" s="4">
        <f t="shared" si="17"/>
        <v>210651.75888764064</v>
      </c>
    </row>
    <row r="350" spans="1:7" x14ac:dyDescent="0.25">
      <c r="A350">
        <v>347</v>
      </c>
      <c r="B350" s="4">
        <f>-PPMT('Owner Occupier'!$D$41/12,'FHA Amotization'!$A350,360,'Owner Occupier'!$D$40,0,0)</f>
        <v>2240.869416131286</v>
      </c>
      <c r="C350" s="4">
        <f>-IPMT('Owner Occupier'!$D$41/12,'FHA Amotization'!$A350,360,'Owner Occupier'!$D$40,0,0)</f>
        <v>113.70420633206527</v>
      </c>
      <c r="D350" s="4">
        <f t="shared" si="15"/>
        <v>2354.5736224633511</v>
      </c>
      <c r="E350" s="3">
        <f t="shared" si="16"/>
        <v>29863.847665863508</v>
      </c>
      <c r="F350" s="4">
        <f>('Owner Occupier'!$H$24-'Owner Occupier'!$D$52)/('Owner Occupier'!$D$56-'Owner Occupier'!$D$52)*B350</f>
        <v>1057.1466656030843</v>
      </c>
      <c r="G350" s="4">
        <f t="shared" si="17"/>
        <v>211708.90555324373</v>
      </c>
    </row>
    <row r="351" spans="1:7" x14ac:dyDescent="0.25">
      <c r="A351">
        <v>348</v>
      </c>
      <c r="B351" s="4">
        <f>-PPMT('Owner Occupier'!$D$41/12,'FHA Amotization'!$A351,360,'Owner Occupier'!$D$40,0,0)</f>
        <v>2248.8058286467508</v>
      </c>
      <c r="C351" s="4">
        <f>-IPMT('Owner Occupier'!$D$41/12,'FHA Amotization'!$A351,360,'Owner Occupier'!$D$40,0,0)</f>
        <v>105.76779381660029</v>
      </c>
      <c r="D351" s="4">
        <f t="shared" si="15"/>
        <v>2354.5736224633511</v>
      </c>
      <c r="E351" s="3">
        <f t="shared" si="16"/>
        <v>27615.041837216759</v>
      </c>
      <c r="F351" s="4">
        <f>('Owner Occupier'!$H$24-'Owner Occupier'!$D$52)/('Owner Occupier'!$D$56-'Owner Occupier'!$D$52)*B351</f>
        <v>1060.8907267104285</v>
      </c>
      <c r="G351" s="4">
        <f t="shared" si="17"/>
        <v>212769.79627995417</v>
      </c>
    </row>
    <row r="352" spans="1:7" x14ac:dyDescent="0.25">
      <c r="A352">
        <v>349</v>
      </c>
      <c r="B352" s="4">
        <f>-PPMT('Owner Occupier'!$D$41/12,'FHA Amotization'!$A352,360,'Owner Occupier'!$D$40,0,0)</f>
        <v>2256.770349289875</v>
      </c>
      <c r="C352" s="4">
        <f>-IPMT('Owner Occupier'!$D$41/12,'FHA Amotization'!$A352,360,'Owner Occupier'!$D$40,0,0)</f>
        <v>97.803273173476398</v>
      </c>
      <c r="D352" s="4">
        <f t="shared" si="15"/>
        <v>2354.5736224633515</v>
      </c>
      <c r="E352" s="3">
        <f t="shared" si="16"/>
        <v>25358.271487926882</v>
      </c>
      <c r="F352" s="4">
        <f>('Owner Occupier'!$H$24-'Owner Occupier'!$D$52)/('Owner Occupier'!$D$56-'Owner Occupier'!$D$52)*B352</f>
        <v>1064.6480480341945</v>
      </c>
      <c r="G352" s="4">
        <f t="shared" si="17"/>
        <v>213834.44432798837</v>
      </c>
    </row>
    <row r="353" spans="1:7" x14ac:dyDescent="0.25">
      <c r="A353">
        <v>350</v>
      </c>
      <c r="B353" s="4">
        <f>-PPMT('Owner Occupier'!$D$41/12,'FHA Amotization'!$A353,360,'Owner Occupier'!$D$40,0,0)</f>
        <v>2264.7630776102765</v>
      </c>
      <c r="C353" s="4">
        <f>-IPMT('Owner Occupier'!$D$41/12,'FHA Amotization'!$A353,360,'Owner Occupier'!$D$40,0,0)</f>
        <v>89.810544853074759</v>
      </c>
      <c r="D353" s="4">
        <f t="shared" si="15"/>
        <v>2354.5736224633511</v>
      </c>
      <c r="E353" s="3">
        <f t="shared" si="16"/>
        <v>23093.508410316605</v>
      </c>
      <c r="F353" s="4">
        <f>('Owner Occupier'!$H$24-'Owner Occupier'!$D$52)/('Owner Occupier'!$D$56-'Owner Occupier'!$D$52)*B353</f>
        <v>1068.4186765376489</v>
      </c>
      <c r="G353" s="4">
        <f t="shared" si="17"/>
        <v>214902.86300452601</v>
      </c>
    </row>
    <row r="354" spans="1:7" x14ac:dyDescent="0.25">
      <c r="A354">
        <v>351</v>
      </c>
      <c r="B354" s="4">
        <f>-PPMT('Owner Occupier'!$D$41/12,'FHA Amotization'!$A354,360,'Owner Occupier'!$D$40,0,0)</f>
        <v>2272.7841135101457</v>
      </c>
      <c r="C354" s="4">
        <f>-IPMT('Owner Occupier'!$D$41/12,'FHA Amotization'!$A354,360,'Owner Occupier'!$D$40,0,0)</f>
        <v>81.789508953205029</v>
      </c>
      <c r="D354" s="4">
        <f t="shared" si="15"/>
        <v>2354.5736224633506</v>
      </c>
      <c r="E354" s="3">
        <f t="shared" si="16"/>
        <v>20820.72429680646</v>
      </c>
      <c r="F354" s="4">
        <f>('Owner Occupier'!$H$24-'Owner Occupier'!$D$52)/('Owner Occupier'!$D$56-'Owner Occupier'!$D$52)*B354</f>
        <v>1072.2026593503863</v>
      </c>
      <c r="G354" s="4">
        <f t="shared" si="17"/>
        <v>215975.06566387639</v>
      </c>
    </row>
    <row r="355" spans="1:7" x14ac:dyDescent="0.25">
      <c r="A355">
        <v>352</v>
      </c>
      <c r="B355" s="4">
        <f>-PPMT('Owner Occupier'!$D$41/12,'FHA Amotization'!$A355,360,'Owner Occupier'!$D$40,0,0)</f>
        <v>2280.8335572454948</v>
      </c>
      <c r="C355" s="4">
        <f>-IPMT('Owner Occupier'!$D$41/12,'FHA Amotization'!$A355,360,'Owner Occupier'!$D$40,0,0)</f>
        <v>73.740065217856596</v>
      </c>
      <c r="D355" s="4">
        <f t="shared" si="15"/>
        <v>2354.5736224633515</v>
      </c>
      <c r="E355" s="3">
        <f t="shared" si="16"/>
        <v>18539.890739560964</v>
      </c>
      <c r="F355" s="4">
        <f>('Owner Occupier'!$H$24-'Owner Occupier'!$D$52)/('Owner Occupier'!$D$56-'Owner Occupier'!$D$52)*B355</f>
        <v>1076.0000437689191</v>
      </c>
      <c r="G355" s="4">
        <f t="shared" si="17"/>
        <v>217051.06570764532</v>
      </c>
    </row>
    <row r="356" spans="1:7" x14ac:dyDescent="0.25">
      <c r="A356">
        <v>353</v>
      </c>
      <c r="B356" s="4">
        <f>-PPMT('Owner Occupier'!$D$41/12,'FHA Amotization'!$A356,360,'Owner Occupier'!$D$40,0,0)</f>
        <v>2288.9115094274057</v>
      </c>
      <c r="C356" s="4">
        <f>-IPMT('Owner Occupier'!$D$41/12,'FHA Amotization'!$A356,360,'Owner Occupier'!$D$40,0,0)</f>
        <v>65.662113035945467</v>
      </c>
      <c r="D356" s="4">
        <f t="shared" si="15"/>
        <v>2354.5736224633511</v>
      </c>
      <c r="E356" s="3">
        <f t="shared" si="16"/>
        <v>16250.979230133558</v>
      </c>
      <c r="F356" s="4">
        <f>('Owner Occupier'!$H$24-'Owner Occupier'!$D$52)/('Owner Occupier'!$D$56-'Owner Occupier'!$D$52)*B356</f>
        <v>1079.8108772572673</v>
      </c>
      <c r="G356" s="4">
        <f t="shared" si="17"/>
        <v>218130.87658490258</v>
      </c>
    </row>
    <row r="357" spans="1:7" x14ac:dyDescent="0.25">
      <c r="A357">
        <v>354</v>
      </c>
      <c r="B357" s="4">
        <f>-PPMT('Owner Occupier'!$D$41/12,'FHA Amotization'!$A357,360,'Owner Occupier'!$D$40,0,0)</f>
        <v>2297.0180710232944</v>
      </c>
      <c r="C357" s="4">
        <f>-IPMT('Owner Occupier'!$D$41/12,'FHA Amotization'!$A357,360,'Owner Occupier'!$D$40,0,0)</f>
        <v>57.555551440056746</v>
      </c>
      <c r="D357" s="4">
        <f t="shared" si="15"/>
        <v>2354.5736224633511</v>
      </c>
      <c r="E357" s="3">
        <f t="shared" si="16"/>
        <v>13953.961159110264</v>
      </c>
      <c r="F357" s="4">
        <f>('Owner Occupier'!$H$24-'Owner Occupier'!$D$52)/('Owner Occupier'!$D$56-'Owner Occupier'!$D$52)*B357</f>
        <v>1083.6352074475535</v>
      </c>
      <c r="G357" s="4">
        <f t="shared" si="17"/>
        <v>219214.51179235012</v>
      </c>
    </row>
    <row r="358" spans="1:7" x14ac:dyDescent="0.25">
      <c r="A358">
        <v>355</v>
      </c>
      <c r="B358" s="4">
        <f>-PPMT('Owner Occupier'!$D$41/12,'FHA Amotization'!$A358,360,'Owner Occupier'!$D$40,0,0)</f>
        <v>2305.1533433581685</v>
      </c>
      <c r="C358" s="4">
        <f>-IPMT('Owner Occupier'!$D$41/12,'FHA Amotization'!$A358,360,'Owner Occupier'!$D$40,0,0)</f>
        <v>49.420279105182566</v>
      </c>
      <c r="D358" s="4">
        <f t="shared" si="15"/>
        <v>2354.5736224633511</v>
      </c>
      <c r="E358" s="3">
        <f t="shared" si="16"/>
        <v>11648.807815752096</v>
      </c>
      <c r="F358" s="4">
        <f>('Owner Occupier'!$H$24-'Owner Occupier'!$D$52)/('Owner Occupier'!$D$56-'Owner Occupier'!$D$52)*B358</f>
        <v>1087.4730821405969</v>
      </c>
      <c r="G358" s="4">
        <f t="shared" si="17"/>
        <v>220301.98487449071</v>
      </c>
    </row>
    <row r="359" spans="1:7" x14ac:dyDescent="0.25">
      <c r="A359">
        <v>356</v>
      </c>
      <c r="B359" s="4">
        <f>-PPMT('Owner Occupier'!$D$41/12,'FHA Amotization'!$A359,360,'Owner Occupier'!$D$40,0,0)</f>
        <v>2313.3174281158954</v>
      </c>
      <c r="C359" s="4">
        <f>-IPMT('Owner Occupier'!$D$41/12,'FHA Amotization'!$A359,360,'Owner Occupier'!$D$40,0,0)</f>
        <v>41.256194347455725</v>
      </c>
      <c r="D359" s="4">
        <f t="shared" si="15"/>
        <v>2354.5736224633511</v>
      </c>
      <c r="E359" s="3">
        <f t="shared" si="16"/>
        <v>9335.4903876362005</v>
      </c>
      <c r="F359" s="4">
        <f>('Owner Occupier'!$H$24-'Owner Occupier'!$D$52)/('Owner Occupier'!$D$56-'Owner Occupier'!$D$52)*B359</f>
        <v>1091.3245493065115</v>
      </c>
      <c r="G359" s="4">
        <f t="shared" si="17"/>
        <v>221393.30942379721</v>
      </c>
    </row>
    <row r="360" spans="1:7" x14ac:dyDescent="0.25">
      <c r="A360">
        <v>357</v>
      </c>
      <c r="B360" s="4">
        <f>-PPMT('Owner Occupier'!$D$41/12,'FHA Amotization'!$A360,360,'Owner Occupier'!$D$40,0,0)</f>
        <v>2321.5104273404727</v>
      </c>
      <c r="C360" s="4">
        <f>-IPMT('Owner Occupier'!$D$41/12,'FHA Amotization'!$A360,360,'Owner Occupier'!$D$40,0,0)</f>
        <v>33.063195122878589</v>
      </c>
      <c r="D360" s="4">
        <f t="shared" si="15"/>
        <v>2354.5736224633511</v>
      </c>
      <c r="E360" s="3">
        <f t="shared" si="16"/>
        <v>7013.9799602957282</v>
      </c>
      <c r="F360" s="4">
        <f>('Owner Occupier'!$H$24-'Owner Occupier'!$D$52)/('Owner Occupier'!$D$56-'Owner Occupier'!$D$52)*B360</f>
        <v>1095.1896570853055</v>
      </c>
      <c r="G360" s="4">
        <f t="shared" si="17"/>
        <v>222488.49908088252</v>
      </c>
    </row>
    <row r="361" spans="1:7" x14ac:dyDescent="0.25">
      <c r="A361">
        <v>358</v>
      </c>
      <c r="B361" s="4">
        <f>-PPMT('Owner Occupier'!$D$41/12,'FHA Amotization'!$A361,360,'Owner Occupier'!$D$40,0,0)</f>
        <v>2329.7324434373036</v>
      </c>
      <c r="C361" s="4">
        <f>-IPMT('Owner Occupier'!$D$41/12,'FHA Amotization'!$A361,360,'Owner Occupier'!$D$40,0,0)</f>
        <v>24.841179026047751</v>
      </c>
      <c r="D361" s="4">
        <f t="shared" si="15"/>
        <v>2354.5736224633515</v>
      </c>
      <c r="E361" s="3">
        <f t="shared" si="16"/>
        <v>4684.2475168584242</v>
      </c>
      <c r="F361" s="4">
        <f>('Owner Occupier'!$H$24-'Owner Occupier'!$D$52)/('Owner Occupier'!$D$56-'Owner Occupier'!$D$52)*B361</f>
        <v>1099.0684537874827</v>
      </c>
      <c r="G361" s="4">
        <f t="shared" si="17"/>
        <v>223587.56753467</v>
      </c>
    </row>
    <row r="362" spans="1:7" x14ac:dyDescent="0.25">
      <c r="A362">
        <v>359</v>
      </c>
      <c r="B362" s="4">
        <f>-PPMT('Owner Occupier'!$D$41/12,'FHA Amotization'!$A362,360,'Owner Occupier'!$D$40,0,0)</f>
        <v>2337.9835791744772</v>
      </c>
      <c r="C362" s="4">
        <f>-IPMT('Owner Occupier'!$D$41/12,'FHA Amotization'!$A362,360,'Owner Occupier'!$D$40,0,0)</f>
        <v>16.590043288873968</v>
      </c>
      <c r="D362" s="4">
        <f t="shared" si="15"/>
        <v>2354.5736224633511</v>
      </c>
      <c r="E362" s="3">
        <f t="shared" si="16"/>
        <v>2346.263937683947</v>
      </c>
      <c r="F362" s="4">
        <f>('Owner Occupier'!$H$24-'Owner Occupier'!$D$52)/('Owner Occupier'!$D$56-'Owner Occupier'!$D$52)*B362</f>
        <v>1102.9609878946465</v>
      </c>
      <c r="G362" s="4">
        <f t="shared" si="17"/>
        <v>224690.52852256465</v>
      </c>
    </row>
    <row r="363" spans="1:7" x14ac:dyDescent="0.25">
      <c r="A363">
        <v>360</v>
      </c>
      <c r="B363" s="4">
        <f>-PPMT('Owner Occupier'!$D$41/12,'FHA Amotization'!$A363,360,'Owner Occupier'!$D$40,0,0)</f>
        <v>2346.2639376840534</v>
      </c>
      <c r="C363" s="4">
        <f>-IPMT('Owner Occupier'!$D$41/12,'FHA Amotization'!$A363,360,'Owner Occupier'!$D$40,0,0)</f>
        <v>8.309684779297692</v>
      </c>
      <c r="D363" s="4">
        <f t="shared" si="15"/>
        <v>2354.5736224633511</v>
      </c>
      <c r="E363" s="3">
        <f t="shared" si="16"/>
        <v>-1.064108801074326E-10</v>
      </c>
      <c r="F363" s="4">
        <f>('Owner Occupier'!$H$24-'Owner Occupier'!$D$52)/('Owner Occupier'!$D$56-'Owner Occupier'!$D$52)*B363</f>
        <v>1106.8673080601068</v>
      </c>
      <c r="G363" s="4">
        <f t="shared" si="17"/>
        <v>225797.39583062477</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9339-C2F6-4859-81D6-DADD0DC5A7C3}">
  <sheetPr codeName="Sheet3"/>
  <dimension ref="A1:J31"/>
  <sheetViews>
    <sheetView workbookViewId="0">
      <selection activeCell="N10" sqref="N10"/>
    </sheetView>
  </sheetViews>
  <sheetFormatPr defaultRowHeight="15" x14ac:dyDescent="0.25"/>
  <cols>
    <col min="3" max="3" width="12.7109375" bestFit="1" customWidth="1"/>
    <col min="5" max="5" width="22.42578125" bestFit="1" customWidth="1"/>
  </cols>
  <sheetData>
    <row r="1" spans="1:10" x14ac:dyDescent="0.25">
      <c r="A1" t="s">
        <v>7</v>
      </c>
      <c r="C1" t="s">
        <v>57</v>
      </c>
      <c r="E1" t="s">
        <v>58</v>
      </c>
      <c r="F1" t="s">
        <v>59</v>
      </c>
    </row>
    <row r="2" spans="1:10" x14ac:dyDescent="0.25">
      <c r="A2" s="2">
        <v>0</v>
      </c>
      <c r="C2" s="2">
        <v>0.01</v>
      </c>
      <c r="E2" s="6">
        <v>0</v>
      </c>
      <c r="F2" s="2">
        <v>0</v>
      </c>
      <c r="H2">
        <v>1</v>
      </c>
      <c r="J2" t="s">
        <v>60</v>
      </c>
    </row>
    <row r="3" spans="1:10" x14ac:dyDescent="0.25">
      <c r="A3" s="6">
        <v>3.5000000000000003E-2</v>
      </c>
      <c r="C3" s="2">
        <v>0.02</v>
      </c>
      <c r="E3" s="6">
        <v>0.01</v>
      </c>
      <c r="F3" s="2">
        <v>0.01</v>
      </c>
      <c r="H3">
        <v>2</v>
      </c>
      <c r="J3" t="s">
        <v>54</v>
      </c>
    </row>
    <row r="4" spans="1:10" x14ac:dyDescent="0.25">
      <c r="A4" s="2">
        <v>0.05</v>
      </c>
      <c r="C4" s="2">
        <v>0.03</v>
      </c>
      <c r="E4" s="6">
        <v>1.4999999999999999E-2</v>
      </c>
      <c r="F4" s="2">
        <v>0.02</v>
      </c>
      <c r="H4">
        <v>3</v>
      </c>
    </row>
    <row r="5" spans="1:10" x14ac:dyDescent="0.25">
      <c r="A5" s="2">
        <v>0.1</v>
      </c>
      <c r="C5" s="2">
        <v>0.04</v>
      </c>
      <c r="E5" s="6">
        <v>0.02</v>
      </c>
      <c r="F5" s="2">
        <v>0.03</v>
      </c>
      <c r="H5">
        <v>4</v>
      </c>
    </row>
    <row r="6" spans="1:10" x14ac:dyDescent="0.25">
      <c r="A6" s="2">
        <v>0.15</v>
      </c>
      <c r="C6" s="2">
        <v>0.05</v>
      </c>
      <c r="E6" s="6">
        <v>0.03</v>
      </c>
      <c r="F6" s="2">
        <v>0.04</v>
      </c>
      <c r="H6">
        <v>5</v>
      </c>
    </row>
    <row r="7" spans="1:10" x14ac:dyDescent="0.25">
      <c r="A7" s="2">
        <v>0.2</v>
      </c>
      <c r="C7" s="2">
        <v>0.06</v>
      </c>
      <c r="E7" s="6">
        <v>0.04</v>
      </c>
      <c r="F7" s="2">
        <v>0.05</v>
      </c>
      <c r="H7">
        <v>6</v>
      </c>
    </row>
    <row r="8" spans="1:10" x14ac:dyDescent="0.25">
      <c r="A8" s="2">
        <v>0.25</v>
      </c>
      <c r="C8" s="2">
        <v>7.0000000000000007E-2</v>
      </c>
      <c r="E8" s="6">
        <v>0.05</v>
      </c>
      <c r="F8" s="2">
        <v>0.06</v>
      </c>
      <c r="H8">
        <v>7</v>
      </c>
    </row>
    <row r="9" spans="1:10" x14ac:dyDescent="0.25">
      <c r="A9" s="2">
        <v>0.3</v>
      </c>
      <c r="C9" s="2">
        <v>0.08</v>
      </c>
      <c r="E9" s="6">
        <v>0.06</v>
      </c>
      <c r="F9" s="2">
        <v>7.0000000000000007E-2</v>
      </c>
      <c r="H9">
        <v>8</v>
      </c>
    </row>
    <row r="10" spans="1:10" x14ac:dyDescent="0.25">
      <c r="A10" s="2">
        <v>0.35</v>
      </c>
      <c r="C10" s="2">
        <v>0.09</v>
      </c>
      <c r="E10" s="6">
        <v>7.0000000000000007E-2</v>
      </c>
      <c r="F10" s="2">
        <v>0.08</v>
      </c>
      <c r="H10">
        <v>9</v>
      </c>
    </row>
    <row r="11" spans="1:10" x14ac:dyDescent="0.25">
      <c r="A11" s="2">
        <f>A10+0.05</f>
        <v>0.39999999999999997</v>
      </c>
      <c r="C11" s="2">
        <v>0.1</v>
      </c>
      <c r="E11" s="6">
        <v>0.08</v>
      </c>
      <c r="F11" s="2">
        <v>0.09</v>
      </c>
      <c r="H11">
        <v>10</v>
      </c>
    </row>
    <row r="12" spans="1:10" x14ac:dyDescent="0.25">
      <c r="A12" s="2">
        <f t="shared" ref="A12:A22" si="0">A11+0.05</f>
        <v>0.44999999999999996</v>
      </c>
      <c r="F12" s="2">
        <v>0.1</v>
      </c>
      <c r="H12">
        <v>11</v>
      </c>
    </row>
    <row r="13" spans="1:10" x14ac:dyDescent="0.25">
      <c r="A13" s="2">
        <f t="shared" si="0"/>
        <v>0.49999999999999994</v>
      </c>
      <c r="H13">
        <v>12</v>
      </c>
    </row>
    <row r="14" spans="1:10" x14ac:dyDescent="0.25">
      <c r="A14" s="2">
        <f t="shared" si="0"/>
        <v>0.54999999999999993</v>
      </c>
      <c r="H14">
        <v>13</v>
      </c>
    </row>
    <row r="15" spans="1:10" x14ac:dyDescent="0.25">
      <c r="A15" s="2">
        <f t="shared" si="0"/>
        <v>0.6</v>
      </c>
      <c r="H15">
        <v>14</v>
      </c>
    </row>
    <row r="16" spans="1:10" x14ac:dyDescent="0.25">
      <c r="A16" s="2">
        <f t="shared" si="0"/>
        <v>0.65</v>
      </c>
      <c r="H16">
        <v>15</v>
      </c>
    </row>
    <row r="17" spans="1:8" x14ac:dyDescent="0.25">
      <c r="A17" s="2">
        <f t="shared" si="0"/>
        <v>0.70000000000000007</v>
      </c>
      <c r="H17">
        <v>16</v>
      </c>
    </row>
    <row r="18" spans="1:8" x14ac:dyDescent="0.25">
      <c r="A18" s="2">
        <f t="shared" si="0"/>
        <v>0.75000000000000011</v>
      </c>
      <c r="H18">
        <v>17</v>
      </c>
    </row>
    <row r="19" spans="1:8" x14ac:dyDescent="0.25">
      <c r="A19" s="2">
        <f>A18+0.05</f>
        <v>0.80000000000000016</v>
      </c>
      <c r="H19">
        <v>18</v>
      </c>
    </row>
    <row r="20" spans="1:8" x14ac:dyDescent="0.25">
      <c r="A20" s="2">
        <f t="shared" si="0"/>
        <v>0.8500000000000002</v>
      </c>
      <c r="H20">
        <v>19</v>
      </c>
    </row>
    <row r="21" spans="1:8" x14ac:dyDescent="0.25">
      <c r="A21" s="2">
        <f t="shared" si="0"/>
        <v>0.90000000000000024</v>
      </c>
      <c r="H21">
        <v>20</v>
      </c>
    </row>
    <row r="22" spans="1:8" x14ac:dyDescent="0.25">
      <c r="A22" s="2">
        <f t="shared" si="0"/>
        <v>0.95000000000000029</v>
      </c>
      <c r="H22">
        <v>21</v>
      </c>
    </row>
    <row r="23" spans="1:8" x14ac:dyDescent="0.25">
      <c r="A23" s="2">
        <f>A22+0.05</f>
        <v>1.0000000000000002</v>
      </c>
      <c r="H23">
        <v>22</v>
      </c>
    </row>
    <row r="24" spans="1:8" x14ac:dyDescent="0.25">
      <c r="H24">
        <v>23</v>
      </c>
    </row>
    <row r="25" spans="1:8" x14ac:dyDescent="0.25">
      <c r="H25">
        <v>24</v>
      </c>
    </row>
    <row r="26" spans="1:8" x14ac:dyDescent="0.25">
      <c r="H26">
        <v>25</v>
      </c>
    </row>
    <row r="27" spans="1:8" x14ac:dyDescent="0.25">
      <c r="H27">
        <v>26</v>
      </c>
    </row>
    <row r="28" spans="1:8" x14ac:dyDescent="0.25">
      <c r="H28">
        <v>27</v>
      </c>
    </row>
    <row r="29" spans="1:8" x14ac:dyDescent="0.25">
      <c r="H29">
        <v>28</v>
      </c>
    </row>
    <row r="30" spans="1:8" x14ac:dyDescent="0.25">
      <c r="H30">
        <v>29</v>
      </c>
    </row>
    <row r="31" spans="1:8" x14ac:dyDescent="0.25">
      <c r="H31">
        <v>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1583-FDA8-48D9-924A-F4FAD3C99270}">
  <sheetPr codeName="Sheet4"/>
  <dimension ref="A1:E363"/>
  <sheetViews>
    <sheetView workbookViewId="0">
      <selection activeCell="F4" sqref="F4"/>
    </sheetView>
  </sheetViews>
  <sheetFormatPr defaultRowHeight="15" x14ac:dyDescent="0.25"/>
  <cols>
    <col min="2" max="2" width="17.28515625" bestFit="1" customWidth="1"/>
    <col min="3" max="3" width="23.5703125" bestFit="1" customWidth="1"/>
    <col min="4" max="4" width="23.5703125" customWidth="1"/>
    <col min="5" max="5" width="17.28515625" bestFit="1" customWidth="1"/>
  </cols>
  <sheetData>
    <row r="1" spans="1:5" ht="18.75" x14ac:dyDescent="0.3">
      <c r="A1" s="112" t="s">
        <v>61</v>
      </c>
      <c r="B1" s="112"/>
      <c r="C1" s="112"/>
      <c r="D1" s="5"/>
      <c r="E1" s="5"/>
    </row>
    <row r="2" spans="1:5" x14ac:dyDescent="0.25">
      <c r="E2" s="15"/>
    </row>
    <row r="3" spans="1:5" x14ac:dyDescent="0.25">
      <c r="A3" s="1" t="s">
        <v>62</v>
      </c>
      <c r="B3" s="1" t="s">
        <v>63</v>
      </c>
      <c r="C3" s="1" t="s">
        <v>64</v>
      </c>
      <c r="D3" s="1" t="s">
        <v>65</v>
      </c>
      <c r="E3" s="1" t="s">
        <v>66</v>
      </c>
    </row>
    <row r="4" spans="1:5" x14ac:dyDescent="0.25">
      <c r="A4">
        <v>1</v>
      </c>
      <c r="B4" s="4">
        <f>-PPMT('With Loan'!$D$41/12,'30% Down Amortization'!$A4,360,'With Loan'!$D$40,0,0)</f>
        <v>522.92679084701763</v>
      </c>
      <c r="C4" s="4">
        <f>-IPMT('With Loan'!$D$41/12,'30% Down Amortization'!$A4,360,'With Loan'!$D$40,0,0)</f>
        <v>1084.9781249999999</v>
      </c>
      <c r="D4" s="4">
        <f>B4+C4</f>
        <v>1607.9049158470175</v>
      </c>
      <c r="E4" s="4">
        <f>'With Loan'!$D$40-'30% Down Amortization'!B4</f>
        <v>346670.07320915296</v>
      </c>
    </row>
    <row r="5" spans="1:5" x14ac:dyDescent="0.25">
      <c r="A5">
        <v>2</v>
      </c>
      <c r="B5" s="4">
        <f>-PPMT('With Loan'!$D$41/12,'30% Down Amortization'!$A5,360,'With Loan'!$D$40,0,0)</f>
        <v>524.56093706841455</v>
      </c>
      <c r="C5" s="4">
        <f>-IPMT('With Loan'!$D$41/12,'30% Down Amortization'!$A5,360,'With Loan'!$D$40,0,0)</f>
        <v>1083.3439787786028</v>
      </c>
      <c r="D5" s="4">
        <f t="shared" ref="D5:D68" si="0">B5+C5</f>
        <v>1607.9049158470175</v>
      </c>
      <c r="E5" s="3">
        <f>E4-B5</f>
        <v>346145.51227208454</v>
      </c>
    </row>
    <row r="6" spans="1:5" x14ac:dyDescent="0.25">
      <c r="A6">
        <v>3</v>
      </c>
      <c r="B6" s="4">
        <f>-PPMT('With Loan'!$D$41/12,'30% Down Amortization'!$A6,360,'With Loan'!$D$40,0,0)</f>
        <v>526.20018999675324</v>
      </c>
      <c r="C6" s="4">
        <f>-IPMT('With Loan'!$D$41/12,'30% Down Amortization'!$A6,360,'With Loan'!$D$40,0,0)</f>
        <v>1081.7047258502641</v>
      </c>
      <c r="D6" s="4">
        <f t="shared" si="0"/>
        <v>1607.9049158470175</v>
      </c>
      <c r="E6" s="3">
        <f t="shared" ref="E6:E33" si="1">E5-B6</f>
        <v>345619.3120820878</v>
      </c>
    </row>
    <row r="7" spans="1:5" x14ac:dyDescent="0.25">
      <c r="A7">
        <v>4</v>
      </c>
      <c r="B7" s="4">
        <f>-PPMT('With Loan'!$D$41/12,'30% Down Amortization'!$A7,360,'With Loan'!$D$40,0,0)</f>
        <v>527.84456559049318</v>
      </c>
      <c r="C7" s="4">
        <f>-IPMT('With Loan'!$D$41/12,'30% Down Amortization'!$A7,360,'With Loan'!$D$40,0,0)</f>
        <v>1080.0603502565241</v>
      </c>
      <c r="D7" s="4">
        <f t="shared" si="0"/>
        <v>1607.9049158470173</v>
      </c>
      <c r="E7" s="3">
        <f t="shared" si="1"/>
        <v>345091.4675164973</v>
      </c>
    </row>
    <row r="8" spans="1:5" x14ac:dyDescent="0.25">
      <c r="A8">
        <v>5</v>
      </c>
      <c r="B8" s="4">
        <f>-PPMT('With Loan'!$D$41/12,'30% Down Amortization'!$A8,360,'With Loan'!$D$40,0,0)</f>
        <v>529.49407985796347</v>
      </c>
      <c r="C8" s="4">
        <f>-IPMT('With Loan'!$D$41/12,'30% Down Amortization'!$A8,360,'With Loan'!$D$40,0,0)</f>
        <v>1078.4108359890542</v>
      </c>
      <c r="D8" s="4">
        <f t="shared" si="0"/>
        <v>1607.9049158470177</v>
      </c>
      <c r="E8" s="3">
        <f t="shared" si="1"/>
        <v>344561.97343663935</v>
      </c>
    </row>
    <row r="9" spans="1:5" x14ac:dyDescent="0.25">
      <c r="A9">
        <v>6</v>
      </c>
      <c r="B9" s="4">
        <f>-PPMT('With Loan'!$D$41/12,'30% Down Amortization'!$A9,360,'With Loan'!$D$40,0,0)</f>
        <v>531.14874885751954</v>
      </c>
      <c r="C9" s="4">
        <f>-IPMT('With Loan'!$D$41/12,'30% Down Amortization'!$A9,360,'With Loan'!$D$40,0,0)</f>
        <v>1076.7561669894978</v>
      </c>
      <c r="D9" s="4">
        <f t="shared" si="0"/>
        <v>1607.9049158470175</v>
      </c>
      <c r="E9" s="3">
        <f t="shared" si="1"/>
        <v>344030.82468778186</v>
      </c>
    </row>
    <row r="10" spans="1:5" x14ac:dyDescent="0.25">
      <c r="A10">
        <v>7</v>
      </c>
      <c r="B10" s="4">
        <f>-PPMT('With Loan'!$D$41/12,'30% Down Amortization'!$A10,360,'With Loan'!$D$40,0,0)</f>
        <v>532.80858869769941</v>
      </c>
      <c r="C10" s="4">
        <f>-IPMT('With Loan'!$D$41/12,'30% Down Amortization'!$A10,360,'With Loan'!$D$40,0,0)</f>
        <v>1075.0963271493181</v>
      </c>
      <c r="D10" s="4">
        <f t="shared" si="0"/>
        <v>1607.9049158470175</v>
      </c>
      <c r="E10" s="3">
        <f t="shared" si="1"/>
        <v>343498.01609908417</v>
      </c>
    </row>
    <row r="11" spans="1:5" x14ac:dyDescent="0.25">
      <c r="A11">
        <v>8</v>
      </c>
      <c r="B11" s="4">
        <f>-PPMT('With Loan'!$D$41/12,'30% Down Amortization'!$A11,360,'With Loan'!$D$40,0,0)</f>
        <v>534.47361553737971</v>
      </c>
      <c r="C11" s="4">
        <f>-IPMT('With Loan'!$D$41/12,'30% Down Amortization'!$A11,360,'With Loan'!$D$40,0,0)</f>
        <v>1073.4313003096377</v>
      </c>
      <c r="D11" s="4">
        <f t="shared" si="0"/>
        <v>1607.9049158470175</v>
      </c>
      <c r="E11" s="3">
        <f t="shared" si="1"/>
        <v>342963.54248354677</v>
      </c>
    </row>
    <row r="12" spans="1:5" x14ac:dyDescent="0.25">
      <c r="A12">
        <v>9</v>
      </c>
      <c r="B12" s="4">
        <f>-PPMT('With Loan'!$D$41/12,'30% Down Amortization'!$A12,360,'With Loan'!$D$40,0,0)</f>
        <v>536.14384558593395</v>
      </c>
      <c r="C12" s="4">
        <f>-IPMT('With Loan'!$D$41/12,'30% Down Amortization'!$A12,360,'With Loan'!$D$40,0,0)</f>
        <v>1071.7610702610837</v>
      </c>
      <c r="D12" s="4">
        <f t="shared" si="0"/>
        <v>1607.9049158470175</v>
      </c>
      <c r="E12" s="3">
        <f t="shared" si="1"/>
        <v>342427.39863796084</v>
      </c>
    </row>
    <row r="13" spans="1:5" x14ac:dyDescent="0.25">
      <c r="A13">
        <v>10</v>
      </c>
      <c r="B13" s="4">
        <f>-PPMT('With Loan'!$D$41/12,'30% Down Amortization'!$A13,360,'With Loan'!$D$40,0,0)</f>
        <v>537.81929510339012</v>
      </c>
      <c r="C13" s="4">
        <f>-IPMT('With Loan'!$D$41/12,'30% Down Amortization'!$A13,360,'With Loan'!$D$40,0,0)</f>
        <v>1070.0856207436273</v>
      </c>
      <c r="D13" s="4">
        <f t="shared" si="0"/>
        <v>1607.9049158470175</v>
      </c>
      <c r="E13" s="3">
        <f t="shared" si="1"/>
        <v>341889.57934285747</v>
      </c>
    </row>
    <row r="14" spans="1:5" x14ac:dyDescent="0.25">
      <c r="A14">
        <v>11</v>
      </c>
      <c r="B14" s="4">
        <f>-PPMT('With Loan'!$D$41/12,'30% Down Amortization'!$A14,360,'With Loan'!$D$40,0,0)</f>
        <v>539.49998040058813</v>
      </c>
      <c r="C14" s="4">
        <f>-IPMT('With Loan'!$D$41/12,'30% Down Amortization'!$A14,360,'With Loan'!$D$40,0,0)</f>
        <v>1068.4049354464294</v>
      </c>
      <c r="D14" s="4">
        <f t="shared" si="0"/>
        <v>1607.9049158470175</v>
      </c>
      <c r="E14" s="3">
        <f t="shared" si="1"/>
        <v>341350.07936245686</v>
      </c>
    </row>
    <row r="15" spans="1:5" x14ac:dyDescent="0.25">
      <c r="A15">
        <v>12</v>
      </c>
      <c r="B15" s="4">
        <f>-PPMT('With Loan'!$D$41/12,'30% Down Amortization'!$A15,360,'With Loan'!$D$40,0,0)</f>
        <v>541.18591783933994</v>
      </c>
      <c r="C15" s="4">
        <f>-IPMT('With Loan'!$D$41/12,'30% Down Amortization'!$A15,360,'With Loan'!$D$40,0,0)</f>
        <v>1066.7189980076773</v>
      </c>
      <c r="D15" s="4">
        <f t="shared" si="0"/>
        <v>1607.9049158470173</v>
      </c>
      <c r="E15" s="3">
        <f t="shared" si="1"/>
        <v>340808.89344461751</v>
      </c>
    </row>
    <row r="16" spans="1:5" x14ac:dyDescent="0.25">
      <c r="A16">
        <v>13</v>
      </c>
      <c r="B16" s="4">
        <f>-PPMT('With Loan'!$D$41/12,'30% Down Amortization'!$A16,360,'With Loan'!$D$40,0,0)</f>
        <v>542.87712383258793</v>
      </c>
      <c r="C16" s="4">
        <f>-IPMT('With Loan'!$D$41/12,'30% Down Amortization'!$A16,360,'With Loan'!$D$40,0,0)</f>
        <v>1065.0277920144297</v>
      </c>
      <c r="D16" s="4">
        <f t="shared" si="0"/>
        <v>1607.9049158470175</v>
      </c>
      <c r="E16" s="3">
        <f t="shared" si="1"/>
        <v>340266.01632078493</v>
      </c>
    </row>
    <row r="17" spans="1:5" x14ac:dyDescent="0.25">
      <c r="A17">
        <v>14</v>
      </c>
      <c r="B17" s="4">
        <f>-PPMT('With Loan'!$D$41/12,'30% Down Amortization'!$A17,360,'With Loan'!$D$40,0,0)</f>
        <v>544.57361484456476</v>
      </c>
      <c r="C17" s="4">
        <f>-IPMT('With Loan'!$D$41/12,'30% Down Amortization'!$A17,360,'With Loan'!$D$40,0,0)</f>
        <v>1063.3313010024526</v>
      </c>
      <c r="D17" s="4">
        <f t="shared" si="0"/>
        <v>1607.9049158470175</v>
      </c>
      <c r="E17" s="3">
        <f t="shared" si="1"/>
        <v>339721.44270594034</v>
      </c>
    </row>
    <row r="18" spans="1:5" x14ac:dyDescent="0.25">
      <c r="A18">
        <v>15</v>
      </c>
      <c r="B18" s="4">
        <f>-PPMT('With Loan'!$D$41/12,'30% Down Amortization'!$A18,360,'With Loan'!$D$40,0,0)</f>
        <v>546.275407390954</v>
      </c>
      <c r="C18" s="4">
        <f>-IPMT('With Loan'!$D$41/12,'30% Down Amortization'!$A18,360,'With Loan'!$D$40,0,0)</f>
        <v>1061.6295084560634</v>
      </c>
      <c r="D18" s="4">
        <f t="shared" si="0"/>
        <v>1607.9049158470175</v>
      </c>
      <c r="E18" s="3">
        <f t="shared" si="1"/>
        <v>339175.16729854938</v>
      </c>
    </row>
    <row r="19" spans="1:5" x14ac:dyDescent="0.25">
      <c r="A19">
        <v>16</v>
      </c>
      <c r="B19" s="4">
        <f>-PPMT('With Loan'!$D$41/12,'30% Down Amortization'!$A19,360,'With Loan'!$D$40,0,0)</f>
        <v>547.98251803905066</v>
      </c>
      <c r="C19" s="4">
        <f>-IPMT('With Loan'!$D$41/12,'30% Down Amortization'!$A19,360,'With Loan'!$D$40,0,0)</f>
        <v>1059.9223978079667</v>
      </c>
      <c r="D19" s="4">
        <f t="shared" si="0"/>
        <v>1607.9049158470175</v>
      </c>
      <c r="E19" s="3">
        <f t="shared" si="1"/>
        <v>338627.18478051032</v>
      </c>
    </row>
    <row r="20" spans="1:5" x14ac:dyDescent="0.25">
      <c r="A20">
        <v>17</v>
      </c>
      <c r="B20" s="4">
        <f>-PPMT('With Loan'!$D$41/12,'30% Down Amortization'!$A20,360,'With Loan'!$D$40,0,0)</f>
        <v>549.69496340792284</v>
      </c>
      <c r="C20" s="4">
        <f>-IPMT('With Loan'!$D$41/12,'30% Down Amortization'!$A20,360,'With Loan'!$D$40,0,0)</f>
        <v>1058.2099524390946</v>
      </c>
      <c r="D20" s="4">
        <f t="shared" si="0"/>
        <v>1607.9049158470175</v>
      </c>
      <c r="E20" s="3">
        <f t="shared" si="1"/>
        <v>338077.48981710238</v>
      </c>
    </row>
    <row r="21" spans="1:5" x14ac:dyDescent="0.25">
      <c r="A21">
        <v>18</v>
      </c>
      <c r="B21" s="4">
        <f>-PPMT('With Loan'!$D$41/12,'30% Down Amortization'!$A21,360,'With Loan'!$D$40,0,0)</f>
        <v>551.4127601685725</v>
      </c>
      <c r="C21" s="4">
        <f>-IPMT('With Loan'!$D$41/12,'30% Down Amortization'!$A21,360,'With Loan'!$D$40,0,0)</f>
        <v>1056.4921556784448</v>
      </c>
      <c r="D21" s="4">
        <f t="shared" si="0"/>
        <v>1607.9049158470173</v>
      </c>
      <c r="E21" s="3">
        <f t="shared" si="1"/>
        <v>337526.07705693383</v>
      </c>
    </row>
    <row r="22" spans="1:5" x14ac:dyDescent="0.25">
      <c r="A22">
        <v>19</v>
      </c>
      <c r="B22" s="4">
        <f>-PPMT('With Loan'!$D$41/12,'30% Down Amortization'!$A22,360,'With Loan'!$D$40,0,0)</f>
        <v>553.13592504409917</v>
      </c>
      <c r="C22" s="4">
        <f>-IPMT('With Loan'!$D$41/12,'30% Down Amortization'!$A22,360,'With Loan'!$D$40,0,0)</f>
        <v>1054.7689908029183</v>
      </c>
      <c r="D22" s="4">
        <f t="shared" si="0"/>
        <v>1607.9049158470175</v>
      </c>
      <c r="E22" s="3">
        <f t="shared" si="1"/>
        <v>336972.94113188976</v>
      </c>
    </row>
    <row r="23" spans="1:5" x14ac:dyDescent="0.25">
      <c r="A23">
        <v>20</v>
      </c>
      <c r="B23" s="4">
        <f>-PPMT('With Loan'!$D$41/12,'30% Down Amortization'!$A23,360,'With Loan'!$D$40,0,0)</f>
        <v>554.86447480986226</v>
      </c>
      <c r="C23" s="4">
        <f>-IPMT('With Loan'!$D$41/12,'30% Down Amortization'!$A23,360,'With Loan'!$D$40,0,0)</f>
        <v>1053.0404410371552</v>
      </c>
      <c r="D23" s="4">
        <f t="shared" si="0"/>
        <v>1607.9049158470175</v>
      </c>
      <c r="E23" s="3">
        <f t="shared" si="1"/>
        <v>336418.07665707992</v>
      </c>
    </row>
    <row r="24" spans="1:5" x14ac:dyDescent="0.25">
      <c r="A24">
        <v>21</v>
      </c>
      <c r="B24" s="4">
        <f>-PPMT('With Loan'!$D$41/12,'30% Down Amortization'!$A24,360,'With Loan'!$D$40,0,0)</f>
        <v>556.598426293643</v>
      </c>
      <c r="C24" s="4">
        <f>-IPMT('With Loan'!$D$41/12,'30% Down Amortization'!$A24,360,'With Loan'!$D$40,0,0)</f>
        <v>1051.3064895533746</v>
      </c>
      <c r="D24" s="4">
        <f t="shared" si="0"/>
        <v>1607.9049158470175</v>
      </c>
      <c r="E24" s="3">
        <f t="shared" si="1"/>
        <v>335861.47823078628</v>
      </c>
    </row>
    <row r="25" spans="1:5" x14ac:dyDescent="0.25">
      <c r="A25">
        <v>22</v>
      </c>
      <c r="B25" s="4">
        <f>-PPMT('With Loan'!$D$41/12,'30% Down Amortization'!$A25,360,'With Loan'!$D$40,0,0)</f>
        <v>558.33779637581051</v>
      </c>
      <c r="C25" s="4">
        <f>-IPMT('With Loan'!$D$41/12,'30% Down Amortization'!$A25,360,'With Loan'!$D$40,0,0)</f>
        <v>1049.5671194712068</v>
      </c>
      <c r="D25" s="4">
        <f t="shared" si="0"/>
        <v>1607.9049158470173</v>
      </c>
      <c r="E25" s="3">
        <f t="shared" si="1"/>
        <v>335303.14043441048</v>
      </c>
    </row>
    <row r="26" spans="1:5" x14ac:dyDescent="0.25">
      <c r="A26">
        <v>23</v>
      </c>
      <c r="B26" s="4">
        <f>-PPMT('With Loan'!$D$41/12,'30% Down Amortization'!$A26,360,'With Loan'!$D$40,0,0)</f>
        <v>560.08260198948506</v>
      </c>
      <c r="C26" s="4">
        <f>-IPMT('With Loan'!$D$41/12,'30% Down Amortization'!$A26,360,'With Loan'!$D$40,0,0)</f>
        <v>1047.8223138575322</v>
      </c>
      <c r="D26" s="4">
        <f t="shared" si="0"/>
        <v>1607.9049158470173</v>
      </c>
      <c r="E26" s="3">
        <f t="shared" si="1"/>
        <v>334743.05783242098</v>
      </c>
    </row>
    <row r="27" spans="1:5" x14ac:dyDescent="0.25">
      <c r="A27">
        <v>24</v>
      </c>
      <c r="B27" s="4">
        <f>-PPMT('With Loan'!$D$41/12,'30% Down Amortization'!$A27,360,'With Loan'!$D$40,0,0)</f>
        <v>561.83286012070221</v>
      </c>
      <c r="C27" s="4">
        <f>-IPMT('With Loan'!$D$41/12,'30% Down Amortization'!$A27,360,'With Loan'!$D$40,0,0)</f>
        <v>1046.0720557263153</v>
      </c>
      <c r="D27" s="4">
        <f t="shared" si="0"/>
        <v>1607.9049158470175</v>
      </c>
      <c r="E27" s="3">
        <f t="shared" si="1"/>
        <v>334181.22497230029</v>
      </c>
    </row>
    <row r="28" spans="1:5" x14ac:dyDescent="0.25">
      <c r="A28">
        <v>25</v>
      </c>
      <c r="B28" s="4">
        <f>-PPMT('With Loan'!$D$41/12,'30% Down Amortization'!$A28,360,'With Loan'!$D$40,0,0)</f>
        <v>563.58858780857918</v>
      </c>
      <c r="C28" s="4">
        <f>-IPMT('With Loan'!$D$41/12,'30% Down Amortization'!$A28,360,'With Loan'!$D$40,0,0)</f>
        <v>1044.3163280384381</v>
      </c>
      <c r="D28" s="4">
        <f t="shared" si="0"/>
        <v>1607.9049158470173</v>
      </c>
      <c r="E28" s="3">
        <f t="shared" si="1"/>
        <v>333617.63638449169</v>
      </c>
    </row>
    <row r="29" spans="1:5" x14ac:dyDescent="0.25">
      <c r="A29">
        <v>26</v>
      </c>
      <c r="B29" s="4">
        <f>-PPMT('With Loan'!$D$41/12,'30% Down Amortization'!$A29,360,'With Loan'!$D$40,0,0)</f>
        <v>565.34980214548114</v>
      </c>
      <c r="C29" s="4">
        <f>-IPMT('With Loan'!$D$41/12,'30% Down Amortization'!$A29,360,'With Loan'!$D$40,0,0)</f>
        <v>1042.5551137015364</v>
      </c>
      <c r="D29" s="4">
        <f t="shared" si="0"/>
        <v>1607.9049158470175</v>
      </c>
      <c r="E29" s="3">
        <f t="shared" si="1"/>
        <v>333052.28658234619</v>
      </c>
    </row>
    <row r="30" spans="1:5" x14ac:dyDescent="0.25">
      <c r="A30">
        <v>27</v>
      </c>
      <c r="B30" s="4">
        <f>-PPMT('With Loan'!$D$41/12,'30% Down Amortization'!$A30,360,'With Loan'!$D$40,0,0)</f>
        <v>567.11652027718571</v>
      </c>
      <c r="C30" s="4">
        <f>-IPMT('With Loan'!$D$41/12,'30% Down Amortization'!$A30,360,'With Loan'!$D$40,0,0)</f>
        <v>1040.7883955698317</v>
      </c>
      <c r="D30" s="4">
        <f t="shared" si="0"/>
        <v>1607.9049158470175</v>
      </c>
      <c r="E30" s="3">
        <f t="shared" si="1"/>
        <v>332485.17006206902</v>
      </c>
    </row>
    <row r="31" spans="1:5" x14ac:dyDescent="0.25">
      <c r="A31">
        <v>28</v>
      </c>
      <c r="B31" s="4">
        <f>-PPMT('With Loan'!$D$41/12,'30% Down Amortization'!$A31,360,'With Loan'!$D$40,0,0)</f>
        <v>568.88875940305195</v>
      </c>
      <c r="C31" s="4">
        <f>-IPMT('With Loan'!$D$41/12,'30% Down Amortization'!$A31,360,'With Loan'!$D$40,0,0)</f>
        <v>1039.0161564439657</v>
      </c>
      <c r="D31" s="4">
        <f t="shared" si="0"/>
        <v>1607.9049158470175</v>
      </c>
      <c r="E31" s="3">
        <f t="shared" si="1"/>
        <v>331916.281302666</v>
      </c>
    </row>
    <row r="32" spans="1:5" x14ac:dyDescent="0.25">
      <c r="A32">
        <v>29</v>
      </c>
      <c r="B32" s="4">
        <f>-PPMT('With Loan'!$D$41/12,'30% Down Amortization'!$A32,360,'With Loan'!$D$40,0,0)</f>
        <v>570.66653677618649</v>
      </c>
      <c r="C32" s="4">
        <f>-IPMT('With Loan'!$D$41/12,'30% Down Amortization'!$A32,360,'With Loan'!$D$40,0,0)</f>
        <v>1037.2383790708309</v>
      </c>
      <c r="D32" s="4">
        <f t="shared" si="0"/>
        <v>1607.9049158470175</v>
      </c>
      <c r="E32" s="3">
        <f t="shared" si="1"/>
        <v>331345.61476588983</v>
      </c>
    </row>
    <row r="33" spans="1:5" x14ac:dyDescent="0.25">
      <c r="A33">
        <v>30</v>
      </c>
      <c r="B33" s="4">
        <f>-PPMT('With Loan'!$D$41/12,'30% Down Amortization'!$A33,360,'With Loan'!$D$40,0,0)</f>
        <v>572.44986970361208</v>
      </c>
      <c r="C33" s="4">
        <f>-IPMT('With Loan'!$D$41/12,'30% Down Amortization'!$A33,360,'With Loan'!$D$40,0,0)</f>
        <v>1035.4550461434055</v>
      </c>
      <c r="D33" s="4">
        <f t="shared" si="0"/>
        <v>1607.9049158470175</v>
      </c>
      <c r="E33" s="3">
        <f t="shared" si="1"/>
        <v>330773.16489618621</v>
      </c>
    </row>
    <row r="34" spans="1:5" x14ac:dyDescent="0.25">
      <c r="A34">
        <v>31</v>
      </c>
      <c r="B34" s="4">
        <f>-PPMT('With Loan'!$D$41/12,'30% Down Amortization'!$A34,360,'With Loan'!$D$40,0,0)</f>
        <v>574.23877554643582</v>
      </c>
      <c r="C34" s="4">
        <f>-IPMT('With Loan'!$D$41/12,'30% Down Amortization'!$A34,360,'With Loan'!$D$40,0,0)</f>
        <v>1033.6661403005819</v>
      </c>
      <c r="D34" s="4">
        <f t="shared" si="0"/>
        <v>1607.9049158470177</v>
      </c>
      <c r="E34" s="3">
        <f t="shared" ref="E34:E97" si="2">E33-B34</f>
        <v>330198.92612063978</v>
      </c>
    </row>
    <row r="35" spans="1:5" x14ac:dyDescent="0.25">
      <c r="A35">
        <v>32</v>
      </c>
      <c r="B35" s="4">
        <f>-PPMT('With Loan'!$D$41/12,'30% Down Amortization'!$A35,360,'With Loan'!$D$40,0,0)</f>
        <v>576.03327172001855</v>
      </c>
      <c r="C35" s="4">
        <f>-IPMT('With Loan'!$D$41/12,'30% Down Amortization'!$A35,360,'With Loan'!$D$40,0,0)</f>
        <v>1031.8716441269989</v>
      </c>
      <c r="D35" s="4">
        <f t="shared" si="0"/>
        <v>1607.9049158470175</v>
      </c>
      <c r="E35" s="3">
        <f t="shared" si="2"/>
        <v>329622.89284891979</v>
      </c>
    </row>
    <row r="36" spans="1:5" x14ac:dyDescent="0.25">
      <c r="A36">
        <v>33</v>
      </c>
      <c r="B36" s="4">
        <f>-PPMT('With Loan'!$D$41/12,'30% Down Amortization'!$A36,360,'With Loan'!$D$40,0,0)</f>
        <v>577.83337569414346</v>
      </c>
      <c r="C36" s="4">
        <f>-IPMT('With Loan'!$D$41/12,'30% Down Amortization'!$A36,360,'With Loan'!$D$40,0,0)</f>
        <v>1030.0715401528739</v>
      </c>
      <c r="D36" s="4">
        <f t="shared" si="0"/>
        <v>1607.9049158470175</v>
      </c>
      <c r="E36" s="3">
        <f t="shared" si="2"/>
        <v>329045.05947322561</v>
      </c>
    </row>
    <row r="37" spans="1:5" x14ac:dyDescent="0.25">
      <c r="A37">
        <v>34</v>
      </c>
      <c r="B37" s="4">
        <f>-PPMT('With Loan'!$D$41/12,'30% Down Amortization'!$A37,360,'With Loan'!$D$40,0,0)</f>
        <v>579.63910499318763</v>
      </c>
      <c r="C37" s="4">
        <f>-IPMT('With Loan'!$D$41/12,'30% Down Amortization'!$A37,360,'With Loan'!$D$40,0,0)</f>
        <v>1028.2658108538299</v>
      </c>
      <c r="D37" s="4">
        <f t="shared" si="0"/>
        <v>1607.9049158470175</v>
      </c>
      <c r="E37" s="3">
        <f t="shared" si="2"/>
        <v>328465.42036823242</v>
      </c>
    </row>
    <row r="38" spans="1:5" x14ac:dyDescent="0.25">
      <c r="A38">
        <v>35</v>
      </c>
      <c r="B38" s="4">
        <f>-PPMT('With Loan'!$D$41/12,'30% Down Amortization'!$A38,360,'With Loan'!$D$40,0,0)</f>
        <v>581.45047719629156</v>
      </c>
      <c r="C38" s="4">
        <f>-IPMT('With Loan'!$D$41/12,'30% Down Amortization'!$A38,360,'With Loan'!$D$40,0,0)</f>
        <v>1026.4544386507259</v>
      </c>
      <c r="D38" s="4">
        <f t="shared" si="0"/>
        <v>1607.9049158470175</v>
      </c>
      <c r="E38" s="3">
        <f t="shared" si="2"/>
        <v>327883.9698910361</v>
      </c>
    </row>
    <row r="39" spans="1:5" x14ac:dyDescent="0.25">
      <c r="A39">
        <v>36</v>
      </c>
      <c r="B39" s="4">
        <f>-PPMT('With Loan'!$D$41/12,'30% Down Amortization'!$A39,360,'With Loan'!$D$40,0,0)</f>
        <v>583.26750993752989</v>
      </c>
      <c r="C39" s="4">
        <f>-IPMT('With Loan'!$D$41/12,'30% Down Amortization'!$A39,360,'With Loan'!$D$40,0,0)</f>
        <v>1024.6374059094876</v>
      </c>
      <c r="D39" s="4">
        <f t="shared" si="0"/>
        <v>1607.9049158470175</v>
      </c>
      <c r="E39" s="3">
        <f t="shared" si="2"/>
        <v>327300.70238109858</v>
      </c>
    </row>
    <row r="40" spans="1:5" x14ac:dyDescent="0.25">
      <c r="A40">
        <v>37</v>
      </c>
      <c r="B40" s="4">
        <f>-PPMT('With Loan'!$D$41/12,'30% Down Amortization'!$A40,360,'With Loan'!$D$40,0,0)</f>
        <v>585.0902209060846</v>
      </c>
      <c r="C40" s="4">
        <f>-IPMT('With Loan'!$D$41/12,'30% Down Amortization'!$A40,360,'With Loan'!$D$40,0,0)</f>
        <v>1022.8146949409328</v>
      </c>
      <c r="D40" s="4">
        <f t="shared" si="0"/>
        <v>1607.9049158470175</v>
      </c>
      <c r="E40" s="3">
        <f t="shared" si="2"/>
        <v>326715.61216019251</v>
      </c>
    </row>
    <row r="41" spans="1:5" x14ac:dyDescent="0.25">
      <c r="A41">
        <v>38</v>
      </c>
      <c r="B41" s="4">
        <f>-PPMT('With Loan'!$D$41/12,'30% Down Amortization'!$A41,360,'With Loan'!$D$40,0,0)</f>
        <v>586.91862784641626</v>
      </c>
      <c r="C41" s="4">
        <f>-IPMT('With Loan'!$D$41/12,'30% Down Amortization'!$A41,360,'With Loan'!$D$40,0,0)</f>
        <v>1020.9862880006013</v>
      </c>
      <c r="D41" s="4">
        <f t="shared" si="0"/>
        <v>1607.9049158470175</v>
      </c>
      <c r="E41" s="3">
        <f t="shared" si="2"/>
        <v>326128.69353234611</v>
      </c>
    </row>
    <row r="42" spans="1:5" x14ac:dyDescent="0.25">
      <c r="A42">
        <v>39</v>
      </c>
      <c r="B42" s="4">
        <f>-PPMT('With Loan'!$D$41/12,'30% Down Amortization'!$A42,360,'With Loan'!$D$40,0,0)</f>
        <v>588.75274855843622</v>
      </c>
      <c r="C42" s="4">
        <f>-IPMT('With Loan'!$D$41/12,'30% Down Amortization'!$A42,360,'With Loan'!$D$40,0,0)</f>
        <v>1019.1521672885812</v>
      </c>
      <c r="D42" s="4">
        <f t="shared" si="0"/>
        <v>1607.9049158470175</v>
      </c>
      <c r="E42" s="3">
        <f t="shared" si="2"/>
        <v>325539.94078378769</v>
      </c>
    </row>
    <row r="43" spans="1:5" x14ac:dyDescent="0.25">
      <c r="A43">
        <v>40</v>
      </c>
      <c r="B43" s="4">
        <f>-PPMT('With Loan'!$D$41/12,'30% Down Amortization'!$A43,360,'With Loan'!$D$40,0,0)</f>
        <v>590.59260089768122</v>
      </c>
      <c r="C43" s="4">
        <f>-IPMT('With Loan'!$D$41/12,'30% Down Amortization'!$A43,360,'With Loan'!$D$40,0,0)</f>
        <v>1017.312314949336</v>
      </c>
      <c r="D43" s="4">
        <f t="shared" si="0"/>
        <v>1607.9049158470173</v>
      </c>
      <c r="E43" s="3">
        <f t="shared" si="2"/>
        <v>324949.34818289004</v>
      </c>
    </row>
    <row r="44" spans="1:5" x14ac:dyDescent="0.25">
      <c r="A44">
        <v>41</v>
      </c>
      <c r="B44" s="4">
        <f>-PPMT('With Loan'!$D$41/12,'30% Down Amortization'!$A44,360,'With Loan'!$D$40,0,0)</f>
        <v>592.43820277548662</v>
      </c>
      <c r="C44" s="4">
        <f>-IPMT('With Loan'!$D$41/12,'30% Down Amortization'!$A44,360,'With Loan'!$D$40,0,0)</f>
        <v>1015.4667130715309</v>
      </c>
      <c r="D44" s="4">
        <f t="shared" si="0"/>
        <v>1607.9049158470175</v>
      </c>
      <c r="E44" s="3">
        <f t="shared" si="2"/>
        <v>324356.90998011455</v>
      </c>
    </row>
    <row r="45" spans="1:5" x14ac:dyDescent="0.25">
      <c r="A45">
        <v>42</v>
      </c>
      <c r="B45" s="4">
        <f>-PPMT('With Loan'!$D$41/12,'30% Down Amortization'!$A45,360,'With Loan'!$D$40,0,0)</f>
        <v>594.28957215916</v>
      </c>
      <c r="C45" s="4">
        <f>-IPMT('With Loan'!$D$41/12,'30% Down Amortization'!$A45,360,'With Loan'!$D$40,0,0)</f>
        <v>1013.6153436878574</v>
      </c>
      <c r="D45" s="4">
        <f t="shared" si="0"/>
        <v>1607.9049158470175</v>
      </c>
      <c r="E45" s="3">
        <f t="shared" si="2"/>
        <v>323762.62040795537</v>
      </c>
    </row>
    <row r="46" spans="1:5" x14ac:dyDescent="0.25">
      <c r="A46">
        <v>43</v>
      </c>
      <c r="B46" s="4">
        <f>-PPMT('With Loan'!$D$41/12,'30% Down Amortization'!$A46,360,'With Loan'!$D$40,0,0)</f>
        <v>596.14672707215743</v>
      </c>
      <c r="C46" s="4">
        <f>-IPMT('With Loan'!$D$41/12,'30% Down Amortization'!$A46,360,'With Loan'!$D$40,0,0)</f>
        <v>1011.7581887748601</v>
      </c>
      <c r="D46" s="4">
        <f t="shared" si="0"/>
        <v>1607.9049158470175</v>
      </c>
      <c r="E46" s="3">
        <f t="shared" si="2"/>
        <v>323166.47368088324</v>
      </c>
    </row>
    <row r="47" spans="1:5" x14ac:dyDescent="0.25">
      <c r="A47">
        <v>44</v>
      </c>
      <c r="B47" s="4">
        <f>-PPMT('With Loan'!$D$41/12,'30% Down Amortization'!$A47,360,'With Loan'!$D$40,0,0)</f>
        <v>598.00968559425792</v>
      </c>
      <c r="C47" s="4">
        <f>-IPMT('With Loan'!$D$41/12,'30% Down Amortization'!$A47,360,'With Loan'!$D$40,0,0)</f>
        <v>1009.8952302527597</v>
      </c>
      <c r="D47" s="4">
        <f t="shared" si="0"/>
        <v>1607.9049158470175</v>
      </c>
      <c r="E47" s="3">
        <f t="shared" si="2"/>
        <v>322568.463995289</v>
      </c>
    </row>
    <row r="48" spans="1:5" x14ac:dyDescent="0.25">
      <c r="A48">
        <v>45</v>
      </c>
      <c r="B48" s="4">
        <f>-PPMT('With Loan'!$D$41/12,'30% Down Amortization'!$A48,360,'With Loan'!$D$40,0,0)</f>
        <v>599.87846586173987</v>
      </c>
      <c r="C48" s="4">
        <f>-IPMT('With Loan'!$D$41/12,'30% Down Amortization'!$A48,360,'With Loan'!$D$40,0,0)</f>
        <v>1008.0264499852775</v>
      </c>
      <c r="D48" s="4">
        <f t="shared" si="0"/>
        <v>1607.9049158470175</v>
      </c>
      <c r="E48" s="3">
        <f t="shared" si="2"/>
        <v>321968.58552942728</v>
      </c>
    </row>
    <row r="49" spans="1:5" x14ac:dyDescent="0.25">
      <c r="A49">
        <v>46</v>
      </c>
      <c r="B49" s="4">
        <f>-PPMT('With Loan'!$D$41/12,'30% Down Amortization'!$A49,360,'With Loan'!$D$40,0,0)</f>
        <v>601.75308606755789</v>
      </c>
      <c r="C49" s="4">
        <f>-IPMT('With Loan'!$D$41/12,'30% Down Amortization'!$A49,360,'With Loan'!$D$40,0,0)</f>
        <v>1006.1518297794598</v>
      </c>
      <c r="D49" s="4">
        <f t="shared" si="0"/>
        <v>1607.9049158470177</v>
      </c>
      <c r="E49" s="3">
        <f t="shared" si="2"/>
        <v>321366.83244335972</v>
      </c>
    </row>
    <row r="50" spans="1:5" x14ac:dyDescent="0.25">
      <c r="A50">
        <v>47</v>
      </c>
      <c r="B50" s="4">
        <f>-PPMT('With Loan'!$D$41/12,'30% Down Amortization'!$A50,360,'With Loan'!$D$40,0,0)</f>
        <v>603.63356446151886</v>
      </c>
      <c r="C50" s="4">
        <f>-IPMT('With Loan'!$D$41/12,'30% Down Amortization'!$A50,360,'With Loan'!$D$40,0,0)</f>
        <v>1004.2713513854983</v>
      </c>
      <c r="D50" s="4">
        <f t="shared" si="0"/>
        <v>1607.904915847017</v>
      </c>
      <c r="E50" s="3">
        <f t="shared" si="2"/>
        <v>320763.19887889817</v>
      </c>
    </row>
    <row r="51" spans="1:5" x14ac:dyDescent="0.25">
      <c r="A51">
        <v>48</v>
      </c>
      <c r="B51" s="4">
        <f>-PPMT('With Loan'!$D$41/12,'30% Down Amortization'!$A51,360,'With Loan'!$D$40,0,0)</f>
        <v>605.51991935046112</v>
      </c>
      <c r="C51" s="4">
        <f>-IPMT('With Loan'!$D$41/12,'30% Down Amortization'!$A51,360,'With Loan'!$D$40,0,0)</f>
        <v>1002.3849964965561</v>
      </c>
      <c r="D51" s="4">
        <f t="shared" si="0"/>
        <v>1607.9049158470173</v>
      </c>
      <c r="E51" s="3">
        <f t="shared" si="2"/>
        <v>320157.67895954772</v>
      </c>
    </row>
    <row r="52" spans="1:5" x14ac:dyDescent="0.25">
      <c r="A52">
        <v>49</v>
      </c>
      <c r="B52" s="4">
        <f>-PPMT('With Loan'!$D$41/12,'30% Down Amortization'!$A52,360,'With Loan'!$D$40,0,0)</f>
        <v>607.41216909843126</v>
      </c>
      <c r="C52" s="4">
        <f>-IPMT('With Loan'!$D$41/12,'30% Down Amortization'!$A52,360,'With Loan'!$D$40,0,0)</f>
        <v>1000.4927467485861</v>
      </c>
      <c r="D52" s="4">
        <f t="shared" si="0"/>
        <v>1607.9049158470175</v>
      </c>
      <c r="E52" s="3">
        <f t="shared" si="2"/>
        <v>319550.26679044927</v>
      </c>
    </row>
    <row r="53" spans="1:5" x14ac:dyDescent="0.25">
      <c r="A53">
        <v>50</v>
      </c>
      <c r="B53" s="4">
        <f>-PPMT('With Loan'!$D$41/12,'30% Down Amortization'!$A53,360,'With Loan'!$D$40,0,0)</f>
        <v>609.31033212686395</v>
      </c>
      <c r="C53" s="4">
        <f>-IPMT('With Loan'!$D$41/12,'30% Down Amortization'!$A53,360,'With Loan'!$D$40,0,0)</f>
        <v>998.59458372015354</v>
      </c>
      <c r="D53" s="4">
        <f t="shared" si="0"/>
        <v>1607.9049158470175</v>
      </c>
      <c r="E53" s="3">
        <f t="shared" si="2"/>
        <v>318940.95645832241</v>
      </c>
    </row>
    <row r="54" spans="1:5" x14ac:dyDescent="0.25">
      <c r="A54">
        <v>51</v>
      </c>
      <c r="B54" s="4">
        <f>-PPMT('With Loan'!$D$41/12,'30% Down Amortization'!$A54,360,'With Loan'!$D$40,0,0)</f>
        <v>611.21442691476045</v>
      </c>
      <c r="C54" s="4">
        <f>-IPMT('With Loan'!$D$41/12,'30% Down Amortization'!$A54,360,'With Loan'!$D$40,0,0)</f>
        <v>996.69048893225704</v>
      </c>
      <c r="D54" s="4">
        <f t="shared" si="0"/>
        <v>1607.9049158470175</v>
      </c>
      <c r="E54" s="3">
        <f t="shared" si="2"/>
        <v>318329.74203140766</v>
      </c>
    </row>
    <row r="55" spans="1:5" x14ac:dyDescent="0.25">
      <c r="A55">
        <v>52</v>
      </c>
      <c r="B55" s="4">
        <f>-PPMT('With Loan'!$D$41/12,'30% Down Amortization'!$A55,360,'With Loan'!$D$40,0,0)</f>
        <v>613.12447199886901</v>
      </c>
      <c r="C55" s="4">
        <f>-IPMT('With Loan'!$D$41/12,'30% Down Amortization'!$A55,360,'With Loan'!$D$40,0,0)</f>
        <v>994.78044384814825</v>
      </c>
      <c r="D55" s="4">
        <f t="shared" si="0"/>
        <v>1607.9049158470173</v>
      </c>
      <c r="E55" s="3">
        <f t="shared" si="2"/>
        <v>317716.61755940877</v>
      </c>
    </row>
    <row r="56" spans="1:5" x14ac:dyDescent="0.25">
      <c r="A56">
        <v>53</v>
      </c>
      <c r="B56" s="4">
        <f>-PPMT('With Loan'!$D$41/12,'30% Down Amortization'!$A56,360,'With Loan'!$D$40,0,0)</f>
        <v>615.04048597386554</v>
      </c>
      <c r="C56" s="4">
        <f>-IPMT('With Loan'!$D$41/12,'30% Down Amortization'!$A56,360,'With Loan'!$D$40,0,0)</f>
        <v>992.86442987315172</v>
      </c>
      <c r="D56" s="4">
        <f t="shared" si="0"/>
        <v>1607.9049158470173</v>
      </c>
      <c r="E56" s="3">
        <f t="shared" si="2"/>
        <v>317101.57707343489</v>
      </c>
    </row>
    <row r="57" spans="1:5" x14ac:dyDescent="0.25">
      <c r="A57">
        <v>54</v>
      </c>
      <c r="B57" s="4">
        <f>-PPMT('With Loan'!$D$41/12,'30% Down Amortization'!$A57,360,'With Loan'!$D$40,0,0)</f>
        <v>616.96248749253391</v>
      </c>
      <c r="C57" s="4">
        <f>-IPMT('With Loan'!$D$41/12,'30% Down Amortization'!$A57,360,'With Loan'!$D$40,0,0)</f>
        <v>990.94242835448358</v>
      </c>
      <c r="D57" s="4">
        <f t="shared" si="0"/>
        <v>1607.9049158470175</v>
      </c>
      <c r="E57" s="3">
        <f t="shared" si="2"/>
        <v>316484.61458594236</v>
      </c>
    </row>
    <row r="58" spans="1:5" x14ac:dyDescent="0.25">
      <c r="A58">
        <v>55</v>
      </c>
      <c r="B58" s="4">
        <f>-PPMT('With Loan'!$D$41/12,'30% Down Amortization'!$A58,360,'With Loan'!$D$40,0,0)</f>
        <v>618.89049526594795</v>
      </c>
      <c r="C58" s="4">
        <f>-IPMT('With Loan'!$D$41/12,'30% Down Amortization'!$A58,360,'With Loan'!$D$40,0,0)</f>
        <v>989.0144205810692</v>
      </c>
      <c r="D58" s="4">
        <f t="shared" si="0"/>
        <v>1607.904915847017</v>
      </c>
      <c r="E58" s="3">
        <f t="shared" si="2"/>
        <v>315865.72409067641</v>
      </c>
    </row>
    <row r="59" spans="1:5" x14ac:dyDescent="0.25">
      <c r="A59">
        <v>56</v>
      </c>
      <c r="B59" s="4">
        <f>-PPMT('With Loan'!$D$41/12,'30% Down Amortization'!$A59,360,'With Loan'!$D$40,0,0)</f>
        <v>620.82452806365416</v>
      </c>
      <c r="C59" s="4">
        <f>-IPMT('With Loan'!$D$41/12,'30% Down Amortization'!$A59,360,'With Loan'!$D$40,0,0)</f>
        <v>987.08038778336334</v>
      </c>
      <c r="D59" s="4">
        <f t="shared" si="0"/>
        <v>1607.9049158470175</v>
      </c>
      <c r="E59" s="3">
        <f t="shared" si="2"/>
        <v>315244.89956261276</v>
      </c>
    </row>
    <row r="60" spans="1:5" x14ac:dyDescent="0.25">
      <c r="A60">
        <v>57</v>
      </c>
      <c r="B60" s="4">
        <f>-PPMT('With Loan'!$D$41/12,'30% Down Amortization'!$A60,360,'With Loan'!$D$40,0,0)</f>
        <v>622.76460471385315</v>
      </c>
      <c r="C60" s="4">
        <f>-IPMT('With Loan'!$D$41/12,'30% Down Amortization'!$A60,360,'With Loan'!$D$40,0,0)</f>
        <v>985.14031113316423</v>
      </c>
      <c r="D60" s="4">
        <f t="shared" si="0"/>
        <v>1607.9049158470175</v>
      </c>
      <c r="E60" s="3">
        <f t="shared" si="2"/>
        <v>314622.13495789893</v>
      </c>
    </row>
    <row r="61" spans="1:5" x14ac:dyDescent="0.25">
      <c r="A61">
        <v>58</v>
      </c>
      <c r="B61" s="4">
        <f>-PPMT('With Loan'!$D$41/12,'30% Down Amortization'!$A61,360,'With Loan'!$D$40,0,0)</f>
        <v>624.71074410358381</v>
      </c>
      <c r="C61" s="4">
        <f>-IPMT('With Loan'!$D$41/12,'30% Down Amortization'!$A61,360,'With Loan'!$D$40,0,0)</f>
        <v>983.19417174343357</v>
      </c>
      <c r="D61" s="4">
        <f t="shared" si="0"/>
        <v>1607.9049158470175</v>
      </c>
      <c r="E61" s="3">
        <f t="shared" si="2"/>
        <v>313997.42421379534</v>
      </c>
    </row>
    <row r="62" spans="1:5" x14ac:dyDescent="0.25">
      <c r="A62">
        <v>59</v>
      </c>
      <c r="B62" s="4">
        <f>-PPMT('With Loan'!$D$41/12,'30% Down Amortization'!$A62,360,'With Loan'!$D$40,0,0)</f>
        <v>626.6629651789076</v>
      </c>
      <c r="C62" s="4">
        <f>-IPMT('With Loan'!$D$41/12,'30% Down Amortization'!$A62,360,'With Loan'!$D$40,0,0)</f>
        <v>981.24195066811001</v>
      </c>
      <c r="D62" s="4">
        <f t="shared" si="0"/>
        <v>1607.9049158470175</v>
      </c>
      <c r="E62" s="3">
        <f t="shared" si="2"/>
        <v>313370.76124861644</v>
      </c>
    </row>
    <row r="63" spans="1:5" x14ac:dyDescent="0.25">
      <c r="A63">
        <v>60</v>
      </c>
      <c r="B63" s="4">
        <f>-PPMT('With Loan'!$D$41/12,'30% Down Amortization'!$A63,360,'With Loan'!$D$40,0,0)</f>
        <v>628.62128694509158</v>
      </c>
      <c r="C63" s="4">
        <f>-IPMT('With Loan'!$D$41/12,'30% Down Amortization'!$A63,360,'With Loan'!$D$40,0,0)</f>
        <v>979.28362890192579</v>
      </c>
      <c r="D63" s="4">
        <f t="shared" si="0"/>
        <v>1607.9049158470175</v>
      </c>
      <c r="E63" s="3">
        <f t="shared" si="2"/>
        <v>312742.13996167138</v>
      </c>
    </row>
    <row r="64" spans="1:5" x14ac:dyDescent="0.25">
      <c r="A64">
        <v>61</v>
      </c>
      <c r="B64" s="4">
        <f>-PPMT('With Loan'!$D$41/12,'30% Down Amortization'!$A64,360,'With Loan'!$D$40,0,0)</f>
        <v>630.58572846679499</v>
      </c>
      <c r="C64" s="4">
        <f>-IPMT('With Loan'!$D$41/12,'30% Down Amortization'!$A64,360,'With Loan'!$D$40,0,0)</f>
        <v>977.31918738022262</v>
      </c>
      <c r="D64" s="4">
        <f t="shared" si="0"/>
        <v>1607.9049158470175</v>
      </c>
      <c r="E64" s="3">
        <f t="shared" si="2"/>
        <v>312111.55423320457</v>
      </c>
    </row>
    <row r="65" spans="1:5" x14ac:dyDescent="0.25">
      <c r="A65">
        <v>62</v>
      </c>
      <c r="B65" s="4">
        <f>-PPMT('With Loan'!$D$41/12,'30% Down Amortization'!$A65,360,'With Loan'!$D$40,0,0)</f>
        <v>632.55630886825372</v>
      </c>
      <c r="C65" s="4">
        <f>-IPMT('With Loan'!$D$41/12,'30% Down Amortization'!$A65,360,'With Loan'!$D$40,0,0)</f>
        <v>975.34860697876366</v>
      </c>
      <c r="D65" s="4">
        <f t="shared" si="0"/>
        <v>1607.9049158470175</v>
      </c>
      <c r="E65" s="3">
        <f t="shared" si="2"/>
        <v>311478.99792433635</v>
      </c>
    </row>
    <row r="66" spans="1:5" x14ac:dyDescent="0.25">
      <c r="A66">
        <v>63</v>
      </c>
      <c r="B66" s="4">
        <f>-PPMT('With Loan'!$D$41/12,'30% Down Amortization'!$A66,360,'With Loan'!$D$40,0,0)</f>
        <v>634.53304733346704</v>
      </c>
      <c r="C66" s="4">
        <f>-IPMT('With Loan'!$D$41/12,'30% Down Amortization'!$A66,360,'With Loan'!$D$40,0,0)</f>
        <v>973.37186851355023</v>
      </c>
      <c r="D66" s="4">
        <f t="shared" si="0"/>
        <v>1607.9049158470173</v>
      </c>
      <c r="E66" s="3">
        <f t="shared" si="2"/>
        <v>310844.46487700287</v>
      </c>
    </row>
    <row r="67" spans="1:5" x14ac:dyDescent="0.25">
      <c r="A67">
        <v>64</v>
      </c>
      <c r="B67" s="4">
        <f>-PPMT('With Loan'!$D$41/12,'30% Down Amortization'!$A67,360,'With Loan'!$D$40,0,0)</f>
        <v>636.51596310638411</v>
      </c>
      <c r="C67" s="4">
        <f>-IPMT('With Loan'!$D$41/12,'30% Down Amortization'!$A67,360,'With Loan'!$D$40,0,0)</f>
        <v>971.38895274063316</v>
      </c>
      <c r="D67" s="4">
        <f t="shared" si="0"/>
        <v>1607.9049158470173</v>
      </c>
      <c r="E67" s="3">
        <f t="shared" si="2"/>
        <v>310207.94891389651</v>
      </c>
    </row>
    <row r="68" spans="1:5" x14ac:dyDescent="0.25">
      <c r="A68">
        <v>65</v>
      </c>
      <c r="B68" s="4">
        <f>-PPMT('With Loan'!$D$41/12,'30% Down Amortization'!$A68,360,'With Loan'!$D$40,0,0)</f>
        <v>638.50507549109159</v>
      </c>
      <c r="C68" s="4">
        <f>-IPMT('With Loan'!$D$41/12,'30% Down Amortization'!$A68,360,'With Loan'!$D$40,0,0)</f>
        <v>969.39984035592602</v>
      </c>
      <c r="D68" s="4">
        <f t="shared" si="0"/>
        <v>1607.9049158470175</v>
      </c>
      <c r="E68" s="3">
        <f t="shared" si="2"/>
        <v>309569.44383840542</v>
      </c>
    </row>
    <row r="69" spans="1:5" x14ac:dyDescent="0.25">
      <c r="A69">
        <v>66</v>
      </c>
      <c r="B69" s="4">
        <f>-PPMT('With Loan'!$D$41/12,'30% Down Amortization'!$A69,360,'With Loan'!$D$40,0,0)</f>
        <v>640.50040385200134</v>
      </c>
      <c r="C69" s="4">
        <f>-IPMT('With Loan'!$D$41/12,'30% Down Amortization'!$A69,360,'With Loan'!$D$40,0,0)</f>
        <v>967.40451199501626</v>
      </c>
      <c r="D69" s="4">
        <f t="shared" ref="D69:D132" si="3">B69+C69</f>
        <v>1607.9049158470175</v>
      </c>
      <c r="E69" s="3">
        <f t="shared" si="2"/>
        <v>308928.9434345534</v>
      </c>
    </row>
    <row r="70" spans="1:5" x14ac:dyDescent="0.25">
      <c r="A70">
        <v>67</v>
      </c>
      <c r="B70" s="4">
        <f>-PPMT('With Loan'!$D$41/12,'30% Down Amortization'!$A70,360,'With Loan'!$D$40,0,0)</f>
        <v>642.50196761403868</v>
      </c>
      <c r="C70" s="4">
        <f>-IPMT('With Loan'!$D$41/12,'30% Down Amortization'!$A70,360,'With Loan'!$D$40,0,0)</f>
        <v>965.40294823297893</v>
      </c>
      <c r="D70" s="4">
        <f t="shared" si="3"/>
        <v>1607.9049158470175</v>
      </c>
      <c r="E70" s="3">
        <f t="shared" si="2"/>
        <v>308286.44146693934</v>
      </c>
    </row>
    <row r="71" spans="1:5" x14ac:dyDescent="0.25">
      <c r="A71">
        <v>68</v>
      </c>
      <c r="B71" s="4">
        <f>-PPMT('With Loan'!$D$41/12,'30% Down Amortization'!$A71,360,'With Loan'!$D$40,0,0)</f>
        <v>644.50978626283268</v>
      </c>
      <c r="C71" s="4">
        <f>-IPMT('With Loan'!$D$41/12,'30% Down Amortization'!$A71,360,'With Loan'!$D$40,0,0)</f>
        <v>963.39512958418482</v>
      </c>
      <c r="D71" s="4">
        <f t="shared" si="3"/>
        <v>1607.9049158470175</v>
      </c>
      <c r="E71" s="3">
        <f t="shared" si="2"/>
        <v>307641.93168067653</v>
      </c>
    </row>
    <row r="72" spans="1:5" x14ac:dyDescent="0.25">
      <c r="A72">
        <v>69</v>
      </c>
      <c r="B72" s="4">
        <f>-PPMT('With Loan'!$D$41/12,'30% Down Amortization'!$A72,360,'With Loan'!$D$40,0,0)</f>
        <v>646.52387934490389</v>
      </c>
      <c r="C72" s="4">
        <f>-IPMT('With Loan'!$D$41/12,'30% Down Amortization'!$A72,360,'With Loan'!$D$40,0,0)</f>
        <v>961.38103650211349</v>
      </c>
      <c r="D72" s="4">
        <f t="shared" si="3"/>
        <v>1607.9049158470175</v>
      </c>
      <c r="E72" s="3">
        <f t="shared" si="2"/>
        <v>306995.4078013316</v>
      </c>
    </row>
    <row r="73" spans="1:5" x14ac:dyDescent="0.25">
      <c r="A73">
        <v>70</v>
      </c>
      <c r="B73" s="4">
        <f>-PPMT('With Loan'!$D$41/12,'30% Down Amortization'!$A73,360,'With Loan'!$D$40,0,0)</f>
        <v>648.54426646785669</v>
      </c>
      <c r="C73" s="4">
        <f>-IPMT('With Loan'!$D$41/12,'30% Down Amortization'!$A73,360,'With Loan'!$D$40,0,0)</f>
        <v>959.36064937916058</v>
      </c>
      <c r="D73" s="4">
        <f t="shared" si="3"/>
        <v>1607.9049158470173</v>
      </c>
      <c r="E73" s="3">
        <f t="shared" si="2"/>
        <v>306346.86353486375</v>
      </c>
    </row>
    <row r="74" spans="1:5" x14ac:dyDescent="0.25">
      <c r="A74">
        <v>71</v>
      </c>
      <c r="B74" s="4">
        <f>-PPMT('With Loan'!$D$41/12,'30% Down Amortization'!$A74,360,'With Loan'!$D$40,0,0)</f>
        <v>650.5709673005689</v>
      </c>
      <c r="C74" s="4">
        <f>-IPMT('With Loan'!$D$41/12,'30% Down Amortization'!$A74,360,'With Loan'!$D$40,0,0)</f>
        <v>957.3339485464486</v>
      </c>
      <c r="D74" s="4">
        <f t="shared" si="3"/>
        <v>1607.9049158470175</v>
      </c>
      <c r="E74" s="3">
        <f t="shared" si="2"/>
        <v>305696.29256756319</v>
      </c>
    </row>
    <row r="75" spans="1:5" x14ac:dyDescent="0.25">
      <c r="A75">
        <v>72</v>
      </c>
      <c r="B75" s="4">
        <f>-PPMT('With Loan'!$D$41/12,'30% Down Amortization'!$A75,360,'With Loan'!$D$40,0,0)</f>
        <v>652.60400157338302</v>
      </c>
      <c r="C75" s="4">
        <f>-IPMT('With Loan'!$D$41/12,'30% Down Amortization'!$A75,360,'With Loan'!$D$40,0,0)</f>
        <v>955.30091427363413</v>
      </c>
      <c r="D75" s="4">
        <f t="shared" si="3"/>
        <v>1607.904915847017</v>
      </c>
      <c r="E75" s="3">
        <f t="shared" si="2"/>
        <v>305043.68856598978</v>
      </c>
    </row>
    <row r="76" spans="1:5" x14ac:dyDescent="0.25">
      <c r="A76">
        <v>73</v>
      </c>
      <c r="B76" s="4">
        <f>-PPMT('With Loan'!$D$41/12,'30% Down Amortization'!$A76,360,'With Loan'!$D$40,0,0)</f>
        <v>654.64338907830006</v>
      </c>
      <c r="C76" s="4">
        <f>-IPMT('With Loan'!$D$41/12,'30% Down Amortization'!$A76,360,'With Loan'!$D$40,0,0)</f>
        <v>953.26152676871743</v>
      </c>
      <c r="D76" s="4">
        <f t="shared" si="3"/>
        <v>1607.9049158470175</v>
      </c>
      <c r="E76" s="3">
        <f t="shared" si="2"/>
        <v>304389.04517691146</v>
      </c>
    </row>
    <row r="77" spans="1:5" x14ac:dyDescent="0.25">
      <c r="A77">
        <v>74</v>
      </c>
      <c r="B77" s="4">
        <f>-PPMT('With Loan'!$D$41/12,'30% Down Amortization'!$A77,360,'With Loan'!$D$40,0,0)</f>
        <v>656.68914966916964</v>
      </c>
      <c r="C77" s="4">
        <f>-IPMT('With Loan'!$D$41/12,'30% Down Amortization'!$A77,360,'With Loan'!$D$40,0,0)</f>
        <v>951.21576617784785</v>
      </c>
      <c r="D77" s="4">
        <f t="shared" si="3"/>
        <v>1607.9049158470175</v>
      </c>
      <c r="E77" s="3">
        <f t="shared" si="2"/>
        <v>303732.35602724226</v>
      </c>
    </row>
    <row r="78" spans="1:5" x14ac:dyDescent="0.25">
      <c r="A78">
        <v>75</v>
      </c>
      <c r="B78" s="4">
        <f>-PPMT('With Loan'!$D$41/12,'30% Down Amortization'!$A78,360,'With Loan'!$D$40,0,0)</f>
        <v>658.74130326188572</v>
      </c>
      <c r="C78" s="4">
        <f>-IPMT('With Loan'!$D$41/12,'30% Down Amortization'!$A78,360,'With Loan'!$D$40,0,0)</f>
        <v>949.16361258513177</v>
      </c>
      <c r="D78" s="4">
        <f t="shared" si="3"/>
        <v>1607.9049158470175</v>
      </c>
      <c r="E78" s="3">
        <f t="shared" si="2"/>
        <v>303073.61472398037</v>
      </c>
    </row>
    <row r="79" spans="1:5" x14ac:dyDescent="0.25">
      <c r="A79">
        <v>76</v>
      </c>
      <c r="B79" s="4">
        <f>-PPMT('With Loan'!$D$41/12,'30% Down Amortization'!$A79,360,'With Loan'!$D$40,0,0)</f>
        <v>660.79986983457911</v>
      </c>
      <c r="C79" s="4">
        <f>-IPMT('With Loan'!$D$41/12,'30% Down Amortization'!$A79,360,'With Loan'!$D$40,0,0)</f>
        <v>947.10504601243838</v>
      </c>
      <c r="D79" s="4">
        <f t="shared" si="3"/>
        <v>1607.9049158470175</v>
      </c>
      <c r="E79" s="3">
        <f t="shared" si="2"/>
        <v>302412.81485414581</v>
      </c>
    </row>
    <row r="80" spans="1:5" x14ac:dyDescent="0.25">
      <c r="A80">
        <v>77</v>
      </c>
      <c r="B80" s="4">
        <f>-PPMT('With Loan'!$D$41/12,'30% Down Amortization'!$A80,360,'With Loan'!$D$40,0,0)</f>
        <v>662.86486942781221</v>
      </c>
      <c r="C80" s="4">
        <f>-IPMT('With Loan'!$D$41/12,'30% Down Amortization'!$A80,360,'With Loan'!$D$40,0,0)</f>
        <v>945.04004641920517</v>
      </c>
      <c r="D80" s="4">
        <f t="shared" si="3"/>
        <v>1607.9049158470175</v>
      </c>
      <c r="E80" s="3">
        <f t="shared" si="2"/>
        <v>301749.949984718</v>
      </c>
    </row>
    <row r="81" spans="1:5" x14ac:dyDescent="0.25">
      <c r="A81">
        <v>78</v>
      </c>
      <c r="B81" s="4">
        <f>-PPMT('With Loan'!$D$41/12,'30% Down Amortization'!$A81,360,'With Loan'!$D$40,0,0)</f>
        <v>664.93632214477418</v>
      </c>
      <c r="C81" s="4">
        <f>-IPMT('With Loan'!$D$41/12,'30% Down Amortization'!$A81,360,'With Loan'!$D$40,0,0)</f>
        <v>942.96859370224331</v>
      </c>
      <c r="D81" s="4">
        <f t="shared" si="3"/>
        <v>1607.9049158470175</v>
      </c>
      <c r="E81" s="3">
        <f t="shared" si="2"/>
        <v>301085.01366257324</v>
      </c>
    </row>
    <row r="82" spans="1:5" x14ac:dyDescent="0.25">
      <c r="A82">
        <v>79</v>
      </c>
      <c r="B82" s="4">
        <f>-PPMT('With Loan'!$D$41/12,'30% Down Amortization'!$A82,360,'With Loan'!$D$40,0,0)</f>
        <v>667.01424815147652</v>
      </c>
      <c r="C82" s="4">
        <f>-IPMT('With Loan'!$D$41/12,'30% Down Amortization'!$A82,360,'With Loan'!$D$40,0,0)</f>
        <v>940.89066769554074</v>
      </c>
      <c r="D82" s="4">
        <f t="shared" si="3"/>
        <v>1607.9049158470173</v>
      </c>
      <c r="E82" s="3">
        <f t="shared" si="2"/>
        <v>300417.99941442179</v>
      </c>
    </row>
    <row r="83" spans="1:5" x14ac:dyDescent="0.25">
      <c r="A83">
        <v>80</v>
      </c>
      <c r="B83" s="4">
        <f>-PPMT('With Loan'!$D$41/12,'30% Down Amortization'!$A83,360,'With Loan'!$D$40,0,0)</f>
        <v>669.09866767694996</v>
      </c>
      <c r="C83" s="4">
        <f>-IPMT('With Loan'!$D$41/12,'30% Down Amortization'!$A83,360,'With Loan'!$D$40,0,0)</f>
        <v>938.80624817006753</v>
      </c>
      <c r="D83" s="4">
        <f t="shared" si="3"/>
        <v>1607.9049158470175</v>
      </c>
      <c r="E83" s="3">
        <f t="shared" si="2"/>
        <v>299748.90074674482</v>
      </c>
    </row>
    <row r="84" spans="1:5" x14ac:dyDescent="0.25">
      <c r="A84">
        <v>81</v>
      </c>
      <c r="B84" s="4">
        <f>-PPMT('With Loan'!$D$41/12,'30% Down Amortization'!$A84,360,'With Loan'!$D$40,0,0)</f>
        <v>671.18960101344044</v>
      </c>
      <c r="C84" s="4">
        <f>-IPMT('With Loan'!$D$41/12,'30% Down Amortization'!$A84,360,'With Loan'!$D$40,0,0)</f>
        <v>936.71531483357694</v>
      </c>
      <c r="D84" s="4">
        <f t="shared" si="3"/>
        <v>1607.9049158470175</v>
      </c>
      <c r="E84" s="3">
        <f t="shared" si="2"/>
        <v>299077.71114573139</v>
      </c>
    </row>
    <row r="85" spans="1:5" x14ac:dyDescent="0.25">
      <c r="A85">
        <v>82</v>
      </c>
      <c r="B85" s="4">
        <f>-PPMT('With Loan'!$D$41/12,'30% Down Amortization'!$A85,360,'With Loan'!$D$40,0,0)</f>
        <v>673.28706851660741</v>
      </c>
      <c r="C85" s="4">
        <f>-IPMT('With Loan'!$D$41/12,'30% Down Amortization'!$A85,360,'With Loan'!$D$40,0,0)</f>
        <v>934.61784733040997</v>
      </c>
      <c r="D85" s="4">
        <f t="shared" si="3"/>
        <v>1607.9049158470175</v>
      </c>
      <c r="E85" s="3">
        <f t="shared" si="2"/>
        <v>298404.42407721479</v>
      </c>
    </row>
    <row r="86" spans="1:5" x14ac:dyDescent="0.25">
      <c r="A86">
        <v>83</v>
      </c>
      <c r="B86" s="4">
        <f>-PPMT('With Loan'!$D$41/12,'30% Down Amortization'!$A86,360,'With Loan'!$D$40,0,0)</f>
        <v>675.39109060572184</v>
      </c>
      <c r="C86" s="4">
        <f>-IPMT('With Loan'!$D$41/12,'30% Down Amortization'!$A86,360,'With Loan'!$D$40,0,0)</f>
        <v>932.51382524129576</v>
      </c>
      <c r="D86" s="4">
        <f t="shared" si="3"/>
        <v>1607.9049158470175</v>
      </c>
      <c r="E86" s="3">
        <f t="shared" si="2"/>
        <v>297729.03298660909</v>
      </c>
    </row>
    <row r="87" spans="1:5" x14ac:dyDescent="0.25">
      <c r="A87">
        <v>84</v>
      </c>
      <c r="B87" s="4">
        <f>-PPMT('With Loan'!$D$41/12,'30% Down Amortization'!$A87,360,'With Loan'!$D$40,0,0)</f>
        <v>677.50168776386465</v>
      </c>
      <c r="C87" s="4">
        <f>-IPMT('With Loan'!$D$41/12,'30% Down Amortization'!$A87,360,'With Loan'!$D$40,0,0)</f>
        <v>930.40322808315295</v>
      </c>
      <c r="D87" s="4">
        <f t="shared" si="3"/>
        <v>1607.9049158470175</v>
      </c>
      <c r="E87" s="3">
        <f t="shared" si="2"/>
        <v>297051.53129884525</v>
      </c>
    </row>
    <row r="88" spans="1:5" x14ac:dyDescent="0.25">
      <c r="A88">
        <v>85</v>
      </c>
      <c r="B88" s="4">
        <f>-PPMT('With Loan'!$D$41/12,'30% Down Amortization'!$A88,360,'With Loan'!$D$40,0,0)</f>
        <v>679.61888053812675</v>
      </c>
      <c r="C88" s="4">
        <f>-IPMT('With Loan'!$D$41/12,'30% Down Amortization'!$A88,360,'With Loan'!$D$40,0,0)</f>
        <v>928.28603530889075</v>
      </c>
      <c r="D88" s="4">
        <f t="shared" si="3"/>
        <v>1607.9049158470175</v>
      </c>
      <c r="E88" s="3">
        <f t="shared" si="2"/>
        <v>296371.9124183071</v>
      </c>
    </row>
    <row r="89" spans="1:5" x14ac:dyDescent="0.25">
      <c r="A89">
        <v>86</v>
      </c>
      <c r="B89" s="4">
        <f>-PPMT('With Loan'!$D$41/12,'30% Down Amortization'!$A89,360,'With Loan'!$D$40,0,0)</f>
        <v>681.74268953980845</v>
      </c>
      <c r="C89" s="4">
        <f>-IPMT('With Loan'!$D$41/12,'30% Down Amortization'!$A89,360,'With Loan'!$D$40,0,0)</f>
        <v>926.16222630720904</v>
      </c>
      <c r="D89" s="4">
        <f t="shared" si="3"/>
        <v>1607.9049158470175</v>
      </c>
      <c r="E89" s="3">
        <f t="shared" si="2"/>
        <v>295690.1697287673</v>
      </c>
    </row>
    <row r="90" spans="1:5" x14ac:dyDescent="0.25">
      <c r="A90">
        <v>87</v>
      </c>
      <c r="B90" s="4">
        <f>-PPMT('With Loan'!$D$41/12,'30% Down Amortization'!$A90,360,'With Loan'!$D$40,0,0)</f>
        <v>683.87313544462029</v>
      </c>
      <c r="C90" s="4">
        <f>-IPMT('With Loan'!$D$41/12,'30% Down Amortization'!$A90,360,'With Loan'!$D$40,0,0)</f>
        <v>924.0317804023972</v>
      </c>
      <c r="D90" s="4">
        <f t="shared" si="3"/>
        <v>1607.9049158470175</v>
      </c>
      <c r="E90" s="3">
        <f t="shared" si="2"/>
        <v>295006.29659332271</v>
      </c>
    </row>
    <row r="91" spans="1:5" x14ac:dyDescent="0.25">
      <c r="A91">
        <v>88</v>
      </c>
      <c r="B91" s="4">
        <f>-PPMT('With Loan'!$D$41/12,'30% Down Amortization'!$A91,360,'With Loan'!$D$40,0,0)</f>
        <v>686.01023899288475</v>
      </c>
      <c r="C91" s="4">
        <f>-IPMT('With Loan'!$D$41/12,'30% Down Amortization'!$A91,360,'With Loan'!$D$40,0,0)</f>
        <v>921.89467685413263</v>
      </c>
      <c r="D91" s="4">
        <f t="shared" si="3"/>
        <v>1607.9049158470175</v>
      </c>
      <c r="E91" s="3">
        <f t="shared" si="2"/>
        <v>294320.28635432984</v>
      </c>
    </row>
    <row r="92" spans="1:5" x14ac:dyDescent="0.25">
      <c r="A92">
        <v>89</v>
      </c>
      <c r="B92" s="4">
        <f>-PPMT('With Loan'!$D$41/12,'30% Down Amortization'!$A92,360,'With Loan'!$D$40,0,0)</f>
        <v>688.15402098973755</v>
      </c>
      <c r="C92" s="4">
        <f>-IPMT('With Loan'!$D$41/12,'30% Down Amortization'!$A92,360,'With Loan'!$D$40,0,0)</f>
        <v>919.75089485728017</v>
      </c>
      <c r="D92" s="4">
        <f t="shared" si="3"/>
        <v>1607.9049158470177</v>
      </c>
      <c r="E92" s="3">
        <f t="shared" si="2"/>
        <v>293632.13233334012</v>
      </c>
    </row>
    <row r="93" spans="1:5" x14ac:dyDescent="0.25">
      <c r="A93">
        <v>90</v>
      </c>
      <c r="B93" s="4">
        <f>-PPMT('With Loan'!$D$41/12,'30% Down Amortization'!$A93,360,'With Loan'!$D$40,0,0)</f>
        <v>690.3045023053304</v>
      </c>
      <c r="C93" s="4">
        <f>-IPMT('With Loan'!$D$41/12,'30% Down Amortization'!$A93,360,'With Loan'!$D$40,0,0)</f>
        <v>917.60041354168686</v>
      </c>
      <c r="D93" s="4">
        <f t="shared" si="3"/>
        <v>1607.9049158470173</v>
      </c>
      <c r="E93" s="3">
        <f t="shared" si="2"/>
        <v>292941.82783103478</v>
      </c>
    </row>
    <row r="94" spans="1:5" x14ac:dyDescent="0.25">
      <c r="A94">
        <v>91</v>
      </c>
      <c r="B94" s="4">
        <f>-PPMT('With Loan'!$D$41/12,'30% Down Amortization'!$A94,360,'With Loan'!$D$40,0,0)</f>
        <v>692.46170387503457</v>
      </c>
      <c r="C94" s="4">
        <f>-IPMT('With Loan'!$D$41/12,'30% Down Amortization'!$A94,360,'With Loan'!$D$40,0,0)</f>
        <v>915.44321197198292</v>
      </c>
      <c r="D94" s="4">
        <f t="shared" si="3"/>
        <v>1607.9049158470175</v>
      </c>
      <c r="E94" s="3">
        <f t="shared" si="2"/>
        <v>292249.36612715974</v>
      </c>
    </row>
    <row r="95" spans="1:5" x14ac:dyDescent="0.25">
      <c r="A95">
        <v>92</v>
      </c>
      <c r="B95" s="4">
        <f>-PPMT('With Loan'!$D$41/12,'30% Down Amortization'!$A95,360,'With Loan'!$D$40,0,0)</f>
        <v>694.62564669964411</v>
      </c>
      <c r="C95" s="4">
        <f>-IPMT('With Loan'!$D$41/12,'30% Down Amortization'!$A95,360,'With Loan'!$D$40,0,0)</f>
        <v>913.27926914737338</v>
      </c>
      <c r="D95" s="4">
        <f t="shared" si="3"/>
        <v>1607.9049158470175</v>
      </c>
      <c r="E95" s="3">
        <f t="shared" si="2"/>
        <v>291554.74048046011</v>
      </c>
    </row>
    <row r="96" spans="1:5" x14ac:dyDescent="0.25">
      <c r="A96">
        <v>93</v>
      </c>
      <c r="B96" s="4">
        <f>-PPMT('With Loan'!$D$41/12,'30% Down Amortization'!$A96,360,'With Loan'!$D$40,0,0)</f>
        <v>696.79635184558038</v>
      </c>
      <c r="C96" s="4">
        <f>-IPMT('With Loan'!$D$41/12,'30% Down Amortization'!$A96,360,'With Loan'!$D$40,0,0)</f>
        <v>911.10856400143689</v>
      </c>
      <c r="D96" s="4">
        <f t="shared" si="3"/>
        <v>1607.9049158470173</v>
      </c>
      <c r="E96" s="3">
        <f t="shared" si="2"/>
        <v>290857.9441286145</v>
      </c>
    </row>
    <row r="97" spans="1:5" x14ac:dyDescent="0.25">
      <c r="A97">
        <v>94</v>
      </c>
      <c r="B97" s="4">
        <f>-PPMT('With Loan'!$D$41/12,'30% Down Amortization'!$A97,360,'With Loan'!$D$40,0,0)</f>
        <v>698.97384044509795</v>
      </c>
      <c r="C97" s="4">
        <f>-IPMT('With Loan'!$D$41/12,'30% Down Amortization'!$A97,360,'With Loan'!$D$40,0,0)</f>
        <v>908.93107540191954</v>
      </c>
      <c r="D97" s="4">
        <f t="shared" si="3"/>
        <v>1607.9049158470175</v>
      </c>
      <c r="E97" s="3">
        <f t="shared" si="2"/>
        <v>290158.9702881694</v>
      </c>
    </row>
    <row r="98" spans="1:5" x14ac:dyDescent="0.25">
      <c r="A98">
        <v>95</v>
      </c>
      <c r="B98" s="4">
        <f>-PPMT('With Loan'!$D$41/12,'30% Down Amortization'!$A98,360,'With Loan'!$D$40,0,0)</f>
        <v>701.15813369648879</v>
      </c>
      <c r="C98" s="4">
        <f>-IPMT('With Loan'!$D$41/12,'30% Down Amortization'!$A98,360,'With Loan'!$D$40,0,0)</f>
        <v>906.7467821505287</v>
      </c>
      <c r="D98" s="4">
        <f t="shared" si="3"/>
        <v>1607.9049158470175</v>
      </c>
      <c r="E98" s="3">
        <f t="shared" ref="E98:E161" si="4">E97-B98</f>
        <v>289457.81215447292</v>
      </c>
    </row>
    <row r="99" spans="1:5" x14ac:dyDescent="0.25">
      <c r="A99">
        <v>96</v>
      </c>
      <c r="B99" s="4">
        <f>-PPMT('With Loan'!$D$41/12,'30% Down Amortization'!$A99,360,'With Loan'!$D$40,0,0)</f>
        <v>703.34925286429041</v>
      </c>
      <c r="C99" s="4">
        <f>-IPMT('With Loan'!$D$41/12,'30% Down Amortization'!$A99,360,'With Loan'!$D$40,0,0)</f>
        <v>904.55566298272709</v>
      </c>
      <c r="D99" s="4">
        <f t="shared" si="3"/>
        <v>1607.9049158470175</v>
      </c>
      <c r="E99" s="3">
        <f t="shared" si="4"/>
        <v>288754.46290160861</v>
      </c>
    </row>
    <row r="100" spans="1:5" x14ac:dyDescent="0.25">
      <c r="A100">
        <v>97</v>
      </c>
      <c r="B100" s="4">
        <f>-PPMT('With Loan'!$D$41/12,'30% Down Amortization'!$A100,360,'With Loan'!$D$40,0,0)</f>
        <v>705.54721927949129</v>
      </c>
      <c r="C100" s="4">
        <f>-IPMT('With Loan'!$D$41/12,'30% Down Amortization'!$A100,360,'With Loan'!$D$40,0,0)</f>
        <v>902.35769656752609</v>
      </c>
      <c r="D100" s="4">
        <f t="shared" si="3"/>
        <v>1607.9049158470175</v>
      </c>
      <c r="E100" s="3">
        <f t="shared" si="4"/>
        <v>288048.9156823291</v>
      </c>
    </row>
    <row r="101" spans="1:5" x14ac:dyDescent="0.25">
      <c r="A101">
        <v>98</v>
      </c>
      <c r="B101" s="4">
        <f>-PPMT('With Loan'!$D$41/12,'30% Down Amortization'!$A101,360,'With Loan'!$D$40,0,0)</f>
        <v>707.75205433973963</v>
      </c>
      <c r="C101" s="4">
        <f>-IPMT('With Loan'!$D$41/12,'30% Down Amortization'!$A101,360,'With Loan'!$D$40,0,0)</f>
        <v>900.15286150727763</v>
      </c>
      <c r="D101" s="4">
        <f t="shared" si="3"/>
        <v>1607.9049158470173</v>
      </c>
      <c r="E101" s="3">
        <f t="shared" si="4"/>
        <v>287341.16362798936</v>
      </c>
    </row>
    <row r="102" spans="1:5" x14ac:dyDescent="0.25">
      <c r="A102">
        <v>99</v>
      </c>
      <c r="B102" s="4">
        <f>-PPMT('With Loan'!$D$41/12,'30% Down Amortization'!$A102,360,'With Loan'!$D$40,0,0)</f>
        <v>709.96377950955139</v>
      </c>
      <c r="C102" s="4">
        <f>-IPMT('With Loan'!$D$41/12,'30% Down Amortization'!$A102,360,'With Loan'!$D$40,0,0)</f>
        <v>897.94113633746611</v>
      </c>
      <c r="D102" s="4">
        <f t="shared" si="3"/>
        <v>1607.9049158470175</v>
      </c>
      <c r="E102" s="3">
        <f t="shared" si="4"/>
        <v>286631.19984847982</v>
      </c>
    </row>
    <row r="103" spans="1:5" x14ac:dyDescent="0.25">
      <c r="A103">
        <v>100</v>
      </c>
      <c r="B103" s="4">
        <f>-PPMT('With Loan'!$D$41/12,'30% Down Amortization'!$A103,360,'With Loan'!$D$40,0,0)</f>
        <v>712.18241632051866</v>
      </c>
      <c r="C103" s="4">
        <f>-IPMT('With Loan'!$D$41/12,'30% Down Amortization'!$A103,360,'With Loan'!$D$40,0,0)</f>
        <v>895.72249952649861</v>
      </c>
      <c r="D103" s="4">
        <f t="shared" si="3"/>
        <v>1607.9049158470173</v>
      </c>
      <c r="E103" s="3">
        <f t="shared" si="4"/>
        <v>285919.01743215928</v>
      </c>
    </row>
    <row r="104" spans="1:5" x14ac:dyDescent="0.25">
      <c r="A104">
        <v>101</v>
      </c>
      <c r="B104" s="4">
        <f>-PPMT('With Loan'!$D$41/12,'30% Down Amortization'!$A104,360,'With Loan'!$D$40,0,0)</f>
        <v>714.40798637152034</v>
      </c>
      <c r="C104" s="4">
        <f>-IPMT('With Loan'!$D$41/12,'30% Down Amortization'!$A104,360,'With Loan'!$D$40,0,0)</f>
        <v>893.49692947549727</v>
      </c>
      <c r="D104" s="4">
        <f t="shared" si="3"/>
        <v>1607.9049158470175</v>
      </c>
      <c r="E104" s="3">
        <f t="shared" si="4"/>
        <v>285204.60944578773</v>
      </c>
    </row>
    <row r="105" spans="1:5" x14ac:dyDescent="0.25">
      <c r="A105">
        <v>102</v>
      </c>
      <c r="B105" s="4">
        <f>-PPMT('With Loan'!$D$41/12,'30% Down Amortization'!$A105,360,'With Loan'!$D$40,0,0)</f>
        <v>716.64051132893132</v>
      </c>
      <c r="C105" s="4">
        <f>-IPMT('With Loan'!$D$41/12,'30% Down Amortization'!$A105,360,'With Loan'!$D$40,0,0)</f>
        <v>891.26440451808605</v>
      </c>
      <c r="D105" s="4">
        <f t="shared" si="3"/>
        <v>1607.9049158470175</v>
      </c>
      <c r="E105" s="3">
        <f t="shared" si="4"/>
        <v>284487.9689344588</v>
      </c>
    </row>
    <row r="106" spans="1:5" x14ac:dyDescent="0.25">
      <c r="A106">
        <v>103</v>
      </c>
      <c r="B106" s="4">
        <f>-PPMT('With Loan'!$D$41/12,'30% Down Amortization'!$A106,360,'With Loan'!$D$40,0,0)</f>
        <v>718.88001292683418</v>
      </c>
      <c r="C106" s="4">
        <f>-IPMT('With Loan'!$D$41/12,'30% Down Amortization'!$A106,360,'With Loan'!$D$40,0,0)</f>
        <v>889.02490292018308</v>
      </c>
      <c r="D106" s="4">
        <f t="shared" si="3"/>
        <v>1607.9049158470173</v>
      </c>
      <c r="E106" s="3">
        <f t="shared" si="4"/>
        <v>283769.08892153198</v>
      </c>
    </row>
    <row r="107" spans="1:5" x14ac:dyDescent="0.25">
      <c r="A107">
        <v>104</v>
      </c>
      <c r="B107" s="4">
        <f>-PPMT('With Loan'!$D$41/12,'30% Down Amortization'!$A107,360,'With Loan'!$D$40,0,0)</f>
        <v>721.12651296723061</v>
      </c>
      <c r="C107" s="4">
        <f>-IPMT('With Loan'!$D$41/12,'30% Down Amortization'!$A107,360,'With Loan'!$D$40,0,0)</f>
        <v>886.77840287978677</v>
      </c>
      <c r="D107" s="4">
        <f t="shared" si="3"/>
        <v>1607.9049158470175</v>
      </c>
      <c r="E107" s="3">
        <f t="shared" si="4"/>
        <v>283047.96240856475</v>
      </c>
    </row>
    <row r="108" spans="1:5" x14ac:dyDescent="0.25">
      <c r="A108">
        <v>105</v>
      </c>
      <c r="B108" s="4">
        <f>-PPMT('With Loan'!$D$41/12,'30% Down Amortization'!$A108,360,'With Loan'!$D$40,0,0)</f>
        <v>723.38003332025323</v>
      </c>
      <c r="C108" s="4">
        <f>-IPMT('With Loan'!$D$41/12,'30% Down Amortization'!$A108,360,'With Loan'!$D$40,0,0)</f>
        <v>884.52488252676426</v>
      </c>
      <c r="D108" s="4">
        <f t="shared" si="3"/>
        <v>1607.9049158470175</v>
      </c>
      <c r="E108" s="3">
        <f t="shared" si="4"/>
        <v>282324.58237524447</v>
      </c>
    </row>
    <row r="109" spans="1:5" x14ac:dyDescent="0.25">
      <c r="A109">
        <v>106</v>
      </c>
      <c r="B109" s="4">
        <f>-PPMT('With Loan'!$D$41/12,'30% Down Amortization'!$A109,360,'With Loan'!$D$40,0,0)</f>
        <v>725.640595924379</v>
      </c>
      <c r="C109" s="4">
        <f>-IPMT('With Loan'!$D$41/12,'30% Down Amortization'!$A109,360,'With Loan'!$D$40,0,0)</f>
        <v>882.26431992263838</v>
      </c>
      <c r="D109" s="4">
        <f t="shared" si="3"/>
        <v>1607.9049158470175</v>
      </c>
      <c r="E109" s="3">
        <f t="shared" si="4"/>
        <v>281598.94177932007</v>
      </c>
    </row>
    <row r="110" spans="1:5" x14ac:dyDescent="0.25">
      <c r="A110">
        <v>107</v>
      </c>
      <c r="B110" s="4">
        <f>-PPMT('With Loan'!$D$41/12,'30% Down Amortization'!$A110,360,'With Loan'!$D$40,0,0)</f>
        <v>727.90822278664268</v>
      </c>
      <c r="C110" s="4">
        <f>-IPMT('With Loan'!$D$41/12,'30% Down Amortization'!$A110,360,'With Loan'!$D$40,0,0)</f>
        <v>879.99669306037481</v>
      </c>
      <c r="D110" s="4">
        <f t="shared" si="3"/>
        <v>1607.9049158470175</v>
      </c>
      <c r="E110" s="3">
        <f t="shared" si="4"/>
        <v>280871.03355653345</v>
      </c>
    </row>
    <row r="111" spans="1:5" x14ac:dyDescent="0.25">
      <c r="A111">
        <v>108</v>
      </c>
      <c r="B111" s="4">
        <f>-PPMT('With Loan'!$D$41/12,'30% Down Amortization'!$A111,360,'With Loan'!$D$40,0,0)</f>
        <v>730.18293598285095</v>
      </c>
      <c r="C111" s="4">
        <f>-IPMT('With Loan'!$D$41/12,'30% Down Amortization'!$A111,360,'With Loan'!$D$40,0,0)</f>
        <v>877.72197986416666</v>
      </c>
      <c r="D111" s="4">
        <f t="shared" si="3"/>
        <v>1607.9049158470175</v>
      </c>
      <c r="E111" s="3">
        <f t="shared" si="4"/>
        <v>280140.85062055063</v>
      </c>
    </row>
    <row r="112" spans="1:5" x14ac:dyDescent="0.25">
      <c r="A112">
        <v>109</v>
      </c>
      <c r="B112" s="4">
        <f>-PPMT('With Loan'!$D$41/12,'30% Down Amortization'!$A112,360,'With Loan'!$D$40,0,0)</f>
        <v>732.46475765779735</v>
      </c>
      <c r="C112" s="4">
        <f>-IPMT('With Loan'!$D$41/12,'30% Down Amortization'!$A112,360,'With Loan'!$D$40,0,0)</f>
        <v>875.44015818921991</v>
      </c>
      <c r="D112" s="4">
        <f t="shared" si="3"/>
        <v>1607.9049158470173</v>
      </c>
      <c r="E112" s="3">
        <f t="shared" si="4"/>
        <v>279408.38586289284</v>
      </c>
    </row>
    <row r="113" spans="1:5" x14ac:dyDescent="0.25">
      <c r="A113">
        <v>110</v>
      </c>
      <c r="B113" s="4">
        <f>-PPMT('With Loan'!$D$41/12,'30% Down Amortization'!$A113,360,'With Loan'!$D$40,0,0)</f>
        <v>734.75371002547797</v>
      </c>
      <c r="C113" s="4">
        <f>-IPMT('With Loan'!$D$41/12,'30% Down Amortization'!$A113,360,'With Loan'!$D$40,0,0)</f>
        <v>873.15120582153929</v>
      </c>
      <c r="D113" s="4">
        <f t="shared" si="3"/>
        <v>1607.9049158470173</v>
      </c>
      <c r="E113" s="3">
        <f t="shared" si="4"/>
        <v>278673.63215286739</v>
      </c>
    </row>
    <row r="114" spans="1:5" x14ac:dyDescent="0.25">
      <c r="A114">
        <v>111</v>
      </c>
      <c r="B114" s="4">
        <f>-PPMT('With Loan'!$D$41/12,'30% Down Amortization'!$A114,360,'With Loan'!$D$40,0,0)</f>
        <v>737.04981536930757</v>
      </c>
      <c r="C114" s="4">
        <f>-IPMT('With Loan'!$D$41/12,'30% Down Amortization'!$A114,360,'With Loan'!$D$40,0,0)</f>
        <v>870.85510047770981</v>
      </c>
      <c r="D114" s="4">
        <f t="shared" si="3"/>
        <v>1607.9049158470175</v>
      </c>
      <c r="E114" s="3">
        <f t="shared" si="4"/>
        <v>277936.58233749808</v>
      </c>
    </row>
    <row r="115" spans="1:5" x14ac:dyDescent="0.25">
      <c r="A115">
        <v>112</v>
      </c>
      <c r="B115" s="4">
        <f>-PPMT('With Loan'!$D$41/12,'30% Down Amortization'!$A115,360,'With Loan'!$D$40,0,0)</f>
        <v>739.35309604233669</v>
      </c>
      <c r="C115" s="4">
        <f>-IPMT('With Loan'!$D$41/12,'30% Down Amortization'!$A115,360,'With Loan'!$D$40,0,0)</f>
        <v>868.55181980468069</v>
      </c>
      <c r="D115" s="4">
        <f t="shared" si="3"/>
        <v>1607.9049158470175</v>
      </c>
      <c r="E115" s="3">
        <f t="shared" si="4"/>
        <v>277197.22924145573</v>
      </c>
    </row>
    <row r="116" spans="1:5" x14ac:dyDescent="0.25">
      <c r="A116">
        <v>113</v>
      </c>
      <c r="B116" s="4">
        <f>-PPMT('With Loan'!$D$41/12,'30% Down Amortization'!$A116,360,'With Loan'!$D$40,0,0)</f>
        <v>741.66357446746895</v>
      </c>
      <c r="C116" s="4">
        <f>-IPMT('With Loan'!$D$41/12,'30% Down Amortization'!$A116,360,'With Loan'!$D$40,0,0)</f>
        <v>866.24134137954854</v>
      </c>
      <c r="D116" s="4">
        <f t="shared" si="3"/>
        <v>1607.9049158470175</v>
      </c>
      <c r="E116" s="3">
        <f t="shared" si="4"/>
        <v>276455.56566698826</v>
      </c>
    </row>
    <row r="117" spans="1:5" x14ac:dyDescent="0.25">
      <c r="A117">
        <v>114</v>
      </c>
      <c r="B117" s="4">
        <f>-PPMT('With Loan'!$D$41/12,'30% Down Amortization'!$A117,360,'With Loan'!$D$40,0,0)</f>
        <v>743.98127313767975</v>
      </c>
      <c r="C117" s="4">
        <f>-IPMT('With Loan'!$D$41/12,'30% Down Amortization'!$A117,360,'With Loan'!$D$40,0,0)</f>
        <v>863.92364270933774</v>
      </c>
      <c r="D117" s="4">
        <f t="shared" si="3"/>
        <v>1607.9049158470175</v>
      </c>
      <c r="E117" s="3">
        <f t="shared" si="4"/>
        <v>275711.58439385059</v>
      </c>
    </row>
    <row r="118" spans="1:5" x14ac:dyDescent="0.25">
      <c r="A118">
        <v>115</v>
      </c>
      <c r="B118" s="4">
        <f>-PPMT('With Loan'!$D$41/12,'30% Down Amortization'!$A118,360,'With Loan'!$D$40,0,0)</f>
        <v>746.30621461623502</v>
      </c>
      <c r="C118" s="4">
        <f>-IPMT('With Loan'!$D$41/12,'30% Down Amortization'!$A118,360,'With Loan'!$D$40,0,0)</f>
        <v>861.59870123078224</v>
      </c>
      <c r="D118" s="4">
        <f t="shared" si="3"/>
        <v>1607.9049158470173</v>
      </c>
      <c r="E118" s="3">
        <f t="shared" si="4"/>
        <v>274965.27817923436</v>
      </c>
    </row>
    <row r="119" spans="1:5" x14ac:dyDescent="0.25">
      <c r="A119">
        <v>116</v>
      </c>
      <c r="B119" s="4">
        <f>-PPMT('With Loan'!$D$41/12,'30% Down Amortization'!$A119,360,'With Loan'!$D$40,0,0)</f>
        <v>748.63842153691076</v>
      </c>
      <c r="C119" s="4">
        <f>-IPMT('With Loan'!$D$41/12,'30% Down Amortization'!$A119,360,'With Loan'!$D$40,0,0)</f>
        <v>859.26649431010662</v>
      </c>
      <c r="D119" s="4">
        <f t="shared" si="3"/>
        <v>1607.9049158470175</v>
      </c>
      <c r="E119" s="3">
        <f t="shared" si="4"/>
        <v>274216.63975769747</v>
      </c>
    </row>
    <row r="120" spans="1:5" x14ac:dyDescent="0.25">
      <c r="A120">
        <v>117</v>
      </c>
      <c r="B120" s="4">
        <f>-PPMT('With Loan'!$D$41/12,'30% Down Amortization'!$A120,360,'With Loan'!$D$40,0,0)</f>
        <v>750.97791660421365</v>
      </c>
      <c r="C120" s="4">
        <f>-IPMT('With Loan'!$D$41/12,'30% Down Amortization'!$A120,360,'With Loan'!$D$40,0,0)</f>
        <v>856.92699924280384</v>
      </c>
      <c r="D120" s="4">
        <f t="shared" si="3"/>
        <v>1607.9049158470175</v>
      </c>
      <c r="E120" s="3">
        <f t="shared" si="4"/>
        <v>273465.66184109327</v>
      </c>
    </row>
    <row r="121" spans="1:5" x14ac:dyDescent="0.25">
      <c r="A121">
        <v>118</v>
      </c>
      <c r="B121" s="4">
        <f>-PPMT('With Loan'!$D$41/12,'30% Down Amortization'!$A121,360,'With Loan'!$D$40,0,0)</f>
        <v>753.32472259360168</v>
      </c>
      <c r="C121" s="4">
        <f>-IPMT('With Loan'!$D$41/12,'30% Down Amortization'!$A121,360,'With Loan'!$D$40,0,0)</f>
        <v>854.5801932534157</v>
      </c>
      <c r="D121" s="4">
        <f t="shared" si="3"/>
        <v>1607.9049158470175</v>
      </c>
      <c r="E121" s="3">
        <f t="shared" si="4"/>
        <v>272712.33711849968</v>
      </c>
    </row>
    <row r="122" spans="1:5" x14ac:dyDescent="0.25">
      <c r="A122">
        <v>119</v>
      </c>
      <c r="B122" s="4">
        <f>-PPMT('With Loan'!$D$41/12,'30% Down Amortization'!$A122,360,'With Loan'!$D$40,0,0)</f>
        <v>755.67886235170681</v>
      </c>
      <c r="C122" s="4">
        <f>-IPMT('With Loan'!$D$41/12,'30% Down Amortization'!$A122,360,'With Loan'!$D$40,0,0)</f>
        <v>852.22605349531068</v>
      </c>
      <c r="D122" s="4">
        <f t="shared" si="3"/>
        <v>1607.9049158470175</v>
      </c>
      <c r="E122" s="3">
        <f t="shared" si="4"/>
        <v>271956.65825614799</v>
      </c>
    </row>
    <row r="123" spans="1:5" x14ac:dyDescent="0.25">
      <c r="A123">
        <v>120</v>
      </c>
      <c r="B123" s="4">
        <f>-PPMT('With Loan'!$D$41/12,'30% Down Amortization'!$A123,360,'With Loan'!$D$40,0,0)</f>
        <v>758.04035879655601</v>
      </c>
      <c r="C123" s="4">
        <f>-IPMT('With Loan'!$D$41/12,'30% Down Amortization'!$A123,360,'With Loan'!$D$40,0,0)</f>
        <v>849.86455705046171</v>
      </c>
      <c r="D123" s="4">
        <f t="shared" si="3"/>
        <v>1607.9049158470177</v>
      </c>
      <c r="E123" s="3">
        <f t="shared" si="4"/>
        <v>271198.61789735145</v>
      </c>
    </row>
    <row r="124" spans="1:5" x14ac:dyDescent="0.25">
      <c r="A124">
        <v>121</v>
      </c>
      <c r="B124" s="4">
        <f>-PPMT('With Loan'!$D$41/12,'30% Down Amortization'!$A124,360,'With Loan'!$D$40,0,0)</f>
        <v>760.40923491779506</v>
      </c>
      <c r="C124" s="4">
        <f>-IPMT('With Loan'!$D$41/12,'30% Down Amortization'!$A124,360,'With Loan'!$D$40,0,0)</f>
        <v>847.49568092922232</v>
      </c>
      <c r="D124" s="4">
        <f t="shared" si="3"/>
        <v>1607.9049158470175</v>
      </c>
      <c r="E124" s="3">
        <f t="shared" si="4"/>
        <v>270438.20866243367</v>
      </c>
    </row>
    <row r="125" spans="1:5" x14ac:dyDescent="0.25">
      <c r="A125">
        <v>122</v>
      </c>
      <c r="B125" s="4">
        <f>-PPMT('With Loan'!$D$41/12,'30% Down Amortization'!$A125,360,'With Loan'!$D$40,0,0)</f>
        <v>762.78551377691326</v>
      </c>
      <c r="C125" s="4">
        <f>-IPMT('With Loan'!$D$41/12,'30% Down Amortization'!$A125,360,'With Loan'!$D$40,0,0)</f>
        <v>845.11940207010423</v>
      </c>
      <c r="D125" s="4">
        <f t="shared" si="3"/>
        <v>1607.9049158470175</v>
      </c>
      <c r="E125" s="3">
        <f t="shared" si="4"/>
        <v>269675.42314865673</v>
      </c>
    </row>
    <row r="126" spans="1:5" x14ac:dyDescent="0.25">
      <c r="A126">
        <v>123</v>
      </c>
      <c r="B126" s="4">
        <f>-PPMT('With Loan'!$D$41/12,'30% Down Amortization'!$A126,360,'With Loan'!$D$40,0,0)</f>
        <v>765.1692185074661</v>
      </c>
      <c r="C126" s="4">
        <f>-IPMT('With Loan'!$D$41/12,'30% Down Amortization'!$A126,360,'With Loan'!$D$40,0,0)</f>
        <v>842.73569733955128</v>
      </c>
      <c r="D126" s="4">
        <f t="shared" si="3"/>
        <v>1607.9049158470175</v>
      </c>
      <c r="E126" s="3">
        <f t="shared" si="4"/>
        <v>268910.25393014925</v>
      </c>
    </row>
    <row r="127" spans="1:5" x14ac:dyDescent="0.25">
      <c r="A127">
        <v>124</v>
      </c>
      <c r="B127" s="4">
        <f>-PPMT('With Loan'!$D$41/12,'30% Down Amortization'!$A127,360,'With Loan'!$D$40,0,0)</f>
        <v>767.56037231530183</v>
      </c>
      <c r="C127" s="4">
        <f>-IPMT('With Loan'!$D$41/12,'30% Down Amortization'!$A127,360,'With Loan'!$D$40,0,0)</f>
        <v>840.34454353171566</v>
      </c>
      <c r="D127" s="4">
        <f t="shared" si="3"/>
        <v>1607.9049158470175</v>
      </c>
      <c r="E127" s="3">
        <f t="shared" si="4"/>
        <v>268142.69355783396</v>
      </c>
    </row>
    <row r="128" spans="1:5" x14ac:dyDescent="0.25">
      <c r="A128">
        <v>125</v>
      </c>
      <c r="B128" s="4">
        <f>-PPMT('With Loan'!$D$41/12,'30% Down Amortization'!$A128,360,'With Loan'!$D$40,0,0)</f>
        <v>769.95899847878718</v>
      </c>
      <c r="C128" s="4">
        <f>-IPMT('With Loan'!$D$41/12,'30% Down Amortization'!$A128,360,'With Loan'!$D$40,0,0)</f>
        <v>837.9459173682302</v>
      </c>
      <c r="D128" s="4">
        <f t="shared" si="3"/>
        <v>1607.9049158470175</v>
      </c>
      <c r="E128" s="3">
        <f t="shared" si="4"/>
        <v>267372.73455935519</v>
      </c>
    </row>
    <row r="129" spans="1:5" x14ac:dyDescent="0.25">
      <c r="A129">
        <v>126</v>
      </c>
      <c r="B129" s="4">
        <f>-PPMT('With Loan'!$D$41/12,'30% Down Amortization'!$A129,360,'With Loan'!$D$40,0,0)</f>
        <v>772.36512034903342</v>
      </c>
      <c r="C129" s="4">
        <f>-IPMT('With Loan'!$D$41/12,'30% Down Amortization'!$A129,360,'With Loan'!$D$40,0,0)</f>
        <v>835.53979549798396</v>
      </c>
      <c r="D129" s="4">
        <f t="shared" si="3"/>
        <v>1607.9049158470175</v>
      </c>
      <c r="E129" s="3">
        <f t="shared" si="4"/>
        <v>266600.36943900614</v>
      </c>
    </row>
    <row r="130" spans="1:5" x14ac:dyDescent="0.25">
      <c r="A130">
        <v>127</v>
      </c>
      <c r="B130" s="4">
        <f>-PPMT('With Loan'!$D$41/12,'30% Down Amortization'!$A130,360,'With Loan'!$D$40,0,0)</f>
        <v>774.77876135012411</v>
      </c>
      <c r="C130" s="4">
        <f>-IPMT('With Loan'!$D$41/12,'30% Down Amortization'!$A130,360,'With Loan'!$D$40,0,0)</f>
        <v>833.12615449689338</v>
      </c>
      <c r="D130" s="4">
        <f t="shared" si="3"/>
        <v>1607.9049158470175</v>
      </c>
      <c r="E130" s="3">
        <f t="shared" si="4"/>
        <v>265825.590677656</v>
      </c>
    </row>
    <row r="131" spans="1:5" x14ac:dyDescent="0.25">
      <c r="A131">
        <v>128</v>
      </c>
      <c r="B131" s="4">
        <f>-PPMT('With Loan'!$D$41/12,'30% Down Amortization'!$A131,360,'With Loan'!$D$40,0,0)</f>
        <v>777.19994497934329</v>
      </c>
      <c r="C131" s="4">
        <f>-IPMT('With Loan'!$D$41/12,'30% Down Amortization'!$A131,360,'With Loan'!$D$40,0,0)</f>
        <v>830.70497086767421</v>
      </c>
      <c r="D131" s="4">
        <f t="shared" si="3"/>
        <v>1607.9049158470175</v>
      </c>
      <c r="E131" s="3">
        <f t="shared" si="4"/>
        <v>265048.39073267666</v>
      </c>
    </row>
    <row r="132" spans="1:5" x14ac:dyDescent="0.25">
      <c r="A132">
        <v>129</v>
      </c>
      <c r="B132" s="4">
        <f>-PPMT('With Loan'!$D$41/12,'30% Down Amortization'!$A132,360,'With Loan'!$D$40,0,0)</f>
        <v>779.6286948074038</v>
      </c>
      <c r="C132" s="4">
        <f>-IPMT('With Loan'!$D$41/12,'30% Down Amortization'!$A132,360,'With Loan'!$D$40,0,0)</f>
        <v>828.2762210396138</v>
      </c>
      <c r="D132" s="4">
        <f t="shared" si="3"/>
        <v>1607.9049158470175</v>
      </c>
      <c r="E132" s="3">
        <f t="shared" si="4"/>
        <v>264268.76203786925</v>
      </c>
    </row>
    <row r="133" spans="1:5" x14ac:dyDescent="0.25">
      <c r="A133">
        <v>130</v>
      </c>
      <c r="B133" s="4">
        <f>-PPMT('With Loan'!$D$41/12,'30% Down Amortization'!$A133,360,'With Loan'!$D$40,0,0)</f>
        <v>782.06503447867692</v>
      </c>
      <c r="C133" s="4">
        <f>-IPMT('With Loan'!$D$41/12,'30% Down Amortization'!$A133,360,'With Loan'!$D$40,0,0)</f>
        <v>825.83988136834046</v>
      </c>
      <c r="D133" s="4">
        <f t="shared" ref="D133:D196" si="5">B133+C133</f>
        <v>1607.9049158470175</v>
      </c>
      <c r="E133" s="3">
        <f t="shared" si="4"/>
        <v>263486.69700339058</v>
      </c>
    </row>
    <row r="134" spans="1:5" x14ac:dyDescent="0.25">
      <c r="A134">
        <v>131</v>
      </c>
      <c r="B134" s="4">
        <f>-PPMT('With Loan'!$D$41/12,'30% Down Amortization'!$A134,360,'With Loan'!$D$40,0,0)</f>
        <v>784.50898771142272</v>
      </c>
      <c r="C134" s="4">
        <f>-IPMT('With Loan'!$D$41/12,'30% Down Amortization'!$A134,360,'With Loan'!$D$40,0,0)</f>
        <v>823.39592813559477</v>
      </c>
      <c r="D134" s="4">
        <f t="shared" si="5"/>
        <v>1607.9049158470175</v>
      </c>
      <c r="E134" s="3">
        <f t="shared" si="4"/>
        <v>262702.18801567913</v>
      </c>
    </row>
    <row r="135" spans="1:5" x14ac:dyDescent="0.25">
      <c r="A135">
        <v>132</v>
      </c>
      <c r="B135" s="4">
        <f>-PPMT('With Loan'!$D$41/12,'30% Down Amortization'!$A135,360,'With Loan'!$D$40,0,0)</f>
        <v>786.96057829802101</v>
      </c>
      <c r="C135" s="4">
        <f>-IPMT('With Loan'!$D$41/12,'30% Down Amortization'!$A135,360,'With Loan'!$D$40,0,0)</f>
        <v>820.94433754899649</v>
      </c>
      <c r="D135" s="4">
        <f t="shared" si="5"/>
        <v>1607.9049158470175</v>
      </c>
      <c r="E135" s="3">
        <f t="shared" si="4"/>
        <v>261915.22743738111</v>
      </c>
    </row>
    <row r="136" spans="1:5" x14ac:dyDescent="0.25">
      <c r="A136">
        <v>133</v>
      </c>
      <c r="B136" s="4">
        <f>-PPMT('With Loan'!$D$41/12,'30% Down Amortization'!$A136,360,'With Loan'!$D$40,0,0)</f>
        <v>789.41983010520232</v>
      </c>
      <c r="C136" s="4">
        <f>-IPMT('With Loan'!$D$41/12,'30% Down Amortization'!$A136,360,'With Loan'!$D$40,0,0)</f>
        <v>818.48508574181528</v>
      </c>
      <c r="D136" s="4">
        <f t="shared" si="5"/>
        <v>1607.9049158470175</v>
      </c>
      <c r="E136" s="3">
        <f t="shared" si="4"/>
        <v>261125.8076072759</v>
      </c>
    </row>
    <row r="137" spans="1:5" x14ac:dyDescent="0.25">
      <c r="A137">
        <v>134</v>
      </c>
      <c r="B137" s="4">
        <f>-PPMT('With Loan'!$D$41/12,'30% Down Amortization'!$A137,360,'With Loan'!$D$40,0,0)</f>
        <v>791.88676707428101</v>
      </c>
      <c r="C137" s="4">
        <f>-IPMT('With Loan'!$D$41/12,'30% Down Amortization'!$A137,360,'With Loan'!$D$40,0,0)</f>
        <v>816.01814877273625</v>
      </c>
      <c r="D137" s="4">
        <f t="shared" si="5"/>
        <v>1607.9049158470173</v>
      </c>
      <c r="E137" s="3">
        <f t="shared" si="4"/>
        <v>260333.92084020161</v>
      </c>
    </row>
    <row r="138" spans="1:5" x14ac:dyDescent="0.25">
      <c r="A138">
        <v>135</v>
      </c>
      <c r="B138" s="4">
        <f>-PPMT('With Loan'!$D$41/12,'30% Down Amortization'!$A138,360,'With Loan'!$D$40,0,0)</f>
        <v>794.36141322138826</v>
      </c>
      <c r="C138" s="4">
        <f>-IPMT('With Loan'!$D$41/12,'30% Down Amortization'!$A138,360,'With Loan'!$D$40,0,0)</f>
        <v>813.54350262562923</v>
      </c>
      <c r="D138" s="4">
        <f t="shared" si="5"/>
        <v>1607.9049158470175</v>
      </c>
      <c r="E138" s="3">
        <f t="shared" si="4"/>
        <v>259539.55942698021</v>
      </c>
    </row>
    <row r="139" spans="1:5" x14ac:dyDescent="0.25">
      <c r="A139">
        <v>136</v>
      </c>
      <c r="B139" s="4">
        <f>-PPMT('With Loan'!$D$41/12,'30% Down Amortization'!$A139,360,'With Loan'!$D$40,0,0)</f>
        <v>796.84379263770495</v>
      </c>
      <c r="C139" s="4">
        <f>-IPMT('With Loan'!$D$41/12,'30% Down Amortization'!$A139,360,'With Loan'!$D$40,0,0)</f>
        <v>811.06112320931254</v>
      </c>
      <c r="D139" s="4">
        <f t="shared" si="5"/>
        <v>1607.9049158470175</v>
      </c>
      <c r="E139" s="3">
        <f t="shared" si="4"/>
        <v>258742.71563434252</v>
      </c>
    </row>
    <row r="140" spans="1:5" x14ac:dyDescent="0.25">
      <c r="A140">
        <v>137</v>
      </c>
      <c r="B140" s="4">
        <f>-PPMT('With Loan'!$D$41/12,'30% Down Amortization'!$A140,360,'With Loan'!$D$40,0,0)</f>
        <v>799.33392948969788</v>
      </c>
      <c r="C140" s="4">
        <f>-IPMT('With Loan'!$D$41/12,'30% Down Amortization'!$A140,360,'With Loan'!$D$40,0,0)</f>
        <v>808.57098635731961</v>
      </c>
      <c r="D140" s="4">
        <f t="shared" si="5"/>
        <v>1607.9049158470175</v>
      </c>
      <c r="E140" s="3">
        <f t="shared" si="4"/>
        <v>257943.38170485283</v>
      </c>
    </row>
    <row r="141" spans="1:5" x14ac:dyDescent="0.25">
      <c r="A141">
        <v>138</v>
      </c>
      <c r="B141" s="4">
        <f>-PPMT('With Loan'!$D$41/12,'30% Down Amortization'!$A141,360,'With Loan'!$D$40,0,0)</f>
        <v>801.83184801935329</v>
      </c>
      <c r="C141" s="4">
        <f>-IPMT('With Loan'!$D$41/12,'30% Down Amortization'!$A141,360,'With Loan'!$D$40,0,0)</f>
        <v>806.0730678276642</v>
      </c>
      <c r="D141" s="4">
        <f t="shared" si="5"/>
        <v>1607.9049158470175</v>
      </c>
      <c r="E141" s="3">
        <f t="shared" si="4"/>
        <v>257141.54985683347</v>
      </c>
    </row>
    <row r="142" spans="1:5" x14ac:dyDescent="0.25">
      <c r="A142">
        <v>139</v>
      </c>
      <c r="B142" s="4">
        <f>-PPMT('With Loan'!$D$41/12,'30% Down Amortization'!$A142,360,'With Loan'!$D$40,0,0)</f>
        <v>804.33757254441355</v>
      </c>
      <c r="C142" s="4">
        <f>-IPMT('With Loan'!$D$41/12,'30% Down Amortization'!$A142,360,'With Loan'!$D$40,0,0)</f>
        <v>803.56734330260394</v>
      </c>
      <c r="D142" s="4">
        <f t="shared" si="5"/>
        <v>1607.9049158470175</v>
      </c>
      <c r="E142" s="3">
        <f t="shared" si="4"/>
        <v>256337.21228428907</v>
      </c>
    </row>
    <row r="143" spans="1:5" x14ac:dyDescent="0.25">
      <c r="A143">
        <v>140</v>
      </c>
      <c r="B143" s="4">
        <f>-PPMT('With Loan'!$D$41/12,'30% Down Amortization'!$A143,360,'With Loan'!$D$40,0,0)</f>
        <v>806.85112745861477</v>
      </c>
      <c r="C143" s="4">
        <f>-IPMT('With Loan'!$D$41/12,'30% Down Amortization'!$A143,360,'With Loan'!$D$40,0,0)</f>
        <v>801.0537883884025</v>
      </c>
      <c r="D143" s="4">
        <f t="shared" si="5"/>
        <v>1607.9049158470173</v>
      </c>
      <c r="E143" s="3">
        <f t="shared" si="4"/>
        <v>255530.36115683045</v>
      </c>
    </row>
    <row r="144" spans="1:5" x14ac:dyDescent="0.25">
      <c r="A144">
        <v>141</v>
      </c>
      <c r="B144" s="4">
        <f>-PPMT('With Loan'!$D$41/12,'30% Down Amortization'!$A144,360,'With Loan'!$D$40,0,0)</f>
        <v>809.37253723192293</v>
      </c>
      <c r="C144" s="4">
        <f>-IPMT('With Loan'!$D$41/12,'30% Down Amortization'!$A144,360,'With Loan'!$D$40,0,0)</f>
        <v>798.53237861509444</v>
      </c>
      <c r="D144" s="4">
        <f t="shared" si="5"/>
        <v>1607.9049158470175</v>
      </c>
      <c r="E144" s="3">
        <f t="shared" si="4"/>
        <v>254720.98861959853</v>
      </c>
    </row>
    <row r="145" spans="1:5" x14ac:dyDescent="0.25">
      <c r="A145">
        <v>142</v>
      </c>
      <c r="B145" s="4">
        <f>-PPMT('With Loan'!$D$41/12,'30% Down Amortization'!$A145,360,'With Loan'!$D$40,0,0)</f>
        <v>811.90182641077297</v>
      </c>
      <c r="C145" s="4">
        <f>-IPMT('With Loan'!$D$41/12,'30% Down Amortization'!$A145,360,'With Loan'!$D$40,0,0)</f>
        <v>796.00308943624464</v>
      </c>
      <c r="D145" s="4">
        <f t="shared" si="5"/>
        <v>1607.9049158470175</v>
      </c>
      <c r="E145" s="3">
        <f t="shared" si="4"/>
        <v>253909.08679318774</v>
      </c>
    </row>
    <row r="146" spans="1:5" x14ac:dyDescent="0.25">
      <c r="A146">
        <v>143</v>
      </c>
      <c r="B146" s="4">
        <f>-PPMT('With Loan'!$D$41/12,'30% Down Amortization'!$A146,360,'With Loan'!$D$40,0,0)</f>
        <v>814.43901961830659</v>
      </c>
      <c r="C146" s="4">
        <f>-IPMT('With Loan'!$D$41/12,'30% Down Amortization'!$A146,360,'With Loan'!$D$40,0,0)</f>
        <v>793.4658962287109</v>
      </c>
      <c r="D146" s="4">
        <f t="shared" si="5"/>
        <v>1607.9049158470175</v>
      </c>
      <c r="E146" s="3">
        <f t="shared" si="4"/>
        <v>253094.64777356945</v>
      </c>
    </row>
    <row r="147" spans="1:5" x14ac:dyDescent="0.25">
      <c r="A147">
        <v>144</v>
      </c>
      <c r="B147" s="4">
        <f>-PPMT('With Loan'!$D$41/12,'30% Down Amortization'!$A147,360,'With Loan'!$D$40,0,0)</f>
        <v>816.98414155461376</v>
      </c>
      <c r="C147" s="4">
        <f>-IPMT('With Loan'!$D$41/12,'30% Down Amortization'!$A147,360,'With Loan'!$D$40,0,0)</f>
        <v>790.92077429240385</v>
      </c>
      <c r="D147" s="4">
        <f t="shared" si="5"/>
        <v>1607.9049158470175</v>
      </c>
      <c r="E147" s="3">
        <f t="shared" si="4"/>
        <v>252277.66363201482</v>
      </c>
    </row>
    <row r="148" spans="1:5" x14ac:dyDescent="0.25">
      <c r="A148">
        <v>145</v>
      </c>
      <c r="B148" s="4">
        <f>-PPMT('With Loan'!$D$41/12,'30% Down Amortization'!$A148,360,'With Loan'!$D$40,0,0)</f>
        <v>819.53721699697189</v>
      </c>
      <c r="C148" s="4">
        <f>-IPMT('With Loan'!$D$41/12,'30% Down Amortization'!$A148,360,'With Loan'!$D$40,0,0)</f>
        <v>788.3676988500456</v>
      </c>
      <c r="D148" s="4">
        <f t="shared" si="5"/>
        <v>1607.9049158470175</v>
      </c>
      <c r="E148" s="3">
        <f t="shared" si="4"/>
        <v>251458.12641501785</v>
      </c>
    </row>
    <row r="149" spans="1:5" x14ac:dyDescent="0.25">
      <c r="A149">
        <v>146</v>
      </c>
      <c r="B149" s="4">
        <f>-PPMT('With Loan'!$D$41/12,'30% Down Amortization'!$A149,360,'With Loan'!$D$40,0,0)</f>
        <v>822.09827080008733</v>
      </c>
      <c r="C149" s="4">
        <f>-IPMT('With Loan'!$D$41/12,'30% Down Amortization'!$A149,360,'With Loan'!$D$40,0,0)</f>
        <v>785.80664504692993</v>
      </c>
      <c r="D149" s="4">
        <f t="shared" si="5"/>
        <v>1607.9049158470173</v>
      </c>
      <c r="E149" s="3">
        <f t="shared" si="4"/>
        <v>250636.02814421777</v>
      </c>
    </row>
    <row r="150" spans="1:5" x14ac:dyDescent="0.25">
      <c r="A150">
        <v>147</v>
      </c>
      <c r="B150" s="4">
        <f>-PPMT('With Loan'!$D$41/12,'30% Down Amortization'!$A150,360,'With Loan'!$D$40,0,0)</f>
        <v>824.66732789633784</v>
      </c>
      <c r="C150" s="4">
        <f>-IPMT('With Loan'!$D$41/12,'30% Down Amortization'!$A150,360,'With Loan'!$D$40,0,0)</f>
        <v>783.23758795067977</v>
      </c>
      <c r="D150" s="4">
        <f t="shared" si="5"/>
        <v>1607.9049158470175</v>
      </c>
      <c r="E150" s="3">
        <f t="shared" si="4"/>
        <v>249811.36081632142</v>
      </c>
    </row>
    <row r="151" spans="1:5" x14ac:dyDescent="0.25">
      <c r="A151">
        <v>148</v>
      </c>
      <c r="B151" s="4">
        <f>-PPMT('With Loan'!$D$41/12,'30% Down Amortization'!$A151,360,'With Loan'!$D$40,0,0)</f>
        <v>827.2444132960137</v>
      </c>
      <c r="C151" s="4">
        <f>-IPMT('With Loan'!$D$41/12,'30% Down Amortization'!$A151,360,'With Loan'!$D$40,0,0)</f>
        <v>780.66050255100379</v>
      </c>
      <c r="D151" s="4">
        <f t="shared" si="5"/>
        <v>1607.9049158470175</v>
      </c>
      <c r="E151" s="3">
        <f t="shared" si="4"/>
        <v>248984.1164030254</v>
      </c>
    </row>
    <row r="152" spans="1:5" x14ac:dyDescent="0.25">
      <c r="A152">
        <v>149</v>
      </c>
      <c r="B152" s="4">
        <f>-PPMT('With Loan'!$D$41/12,'30% Down Amortization'!$A152,360,'With Loan'!$D$40,0,0)</f>
        <v>829.82955208756391</v>
      </c>
      <c r="C152" s="4">
        <f>-IPMT('With Loan'!$D$41/12,'30% Down Amortization'!$A152,360,'With Loan'!$D$40,0,0)</f>
        <v>778.07536375945358</v>
      </c>
      <c r="D152" s="4">
        <f t="shared" si="5"/>
        <v>1607.9049158470175</v>
      </c>
      <c r="E152" s="3">
        <f t="shared" si="4"/>
        <v>248154.28685093785</v>
      </c>
    </row>
    <row r="153" spans="1:5" x14ac:dyDescent="0.25">
      <c r="A153">
        <v>150</v>
      </c>
      <c r="B153" s="4">
        <f>-PPMT('With Loan'!$D$41/12,'30% Down Amortization'!$A153,360,'With Loan'!$D$40,0,0)</f>
        <v>832.42276943783736</v>
      </c>
      <c r="C153" s="4">
        <f>-IPMT('With Loan'!$D$41/12,'30% Down Amortization'!$A153,360,'With Loan'!$D$40,0,0)</f>
        <v>775.48214640918002</v>
      </c>
      <c r="D153" s="4">
        <f t="shared" si="5"/>
        <v>1607.9049158470175</v>
      </c>
      <c r="E153" s="3">
        <f t="shared" si="4"/>
        <v>247321.86408150001</v>
      </c>
    </row>
    <row r="154" spans="1:5" x14ac:dyDescent="0.25">
      <c r="A154">
        <v>151</v>
      </c>
      <c r="B154" s="4">
        <f>-PPMT('With Loan'!$D$41/12,'30% Down Amortization'!$A154,360,'With Loan'!$D$40,0,0)</f>
        <v>835.02409059233059</v>
      </c>
      <c r="C154" s="4">
        <f>-IPMT('With Loan'!$D$41/12,'30% Down Amortization'!$A154,360,'With Loan'!$D$40,0,0)</f>
        <v>772.88082525468678</v>
      </c>
      <c r="D154" s="4">
        <f t="shared" si="5"/>
        <v>1607.9049158470175</v>
      </c>
      <c r="E154" s="3">
        <f t="shared" si="4"/>
        <v>246486.83999090767</v>
      </c>
    </row>
    <row r="155" spans="1:5" x14ac:dyDescent="0.25">
      <c r="A155">
        <v>152</v>
      </c>
      <c r="B155" s="4">
        <f>-PPMT('With Loan'!$D$41/12,'30% Down Amortization'!$A155,360,'With Loan'!$D$40,0,0)</f>
        <v>837.63354087543166</v>
      </c>
      <c r="C155" s="4">
        <f>-IPMT('With Loan'!$D$41/12,'30% Down Amortization'!$A155,360,'With Loan'!$D$40,0,0)</f>
        <v>770.27137497158571</v>
      </c>
      <c r="D155" s="4">
        <f t="shared" si="5"/>
        <v>1607.9049158470175</v>
      </c>
      <c r="E155" s="3">
        <f t="shared" si="4"/>
        <v>245649.20645003224</v>
      </c>
    </row>
    <row r="156" spans="1:5" x14ac:dyDescent="0.25">
      <c r="A156">
        <v>153</v>
      </c>
      <c r="B156" s="4">
        <f>-PPMT('With Loan'!$D$41/12,'30% Down Amortization'!$A156,360,'With Loan'!$D$40,0,0)</f>
        <v>840.2511456906675</v>
      </c>
      <c r="C156" s="4">
        <f>-IPMT('With Loan'!$D$41/12,'30% Down Amortization'!$A156,360,'With Loan'!$D$40,0,0)</f>
        <v>767.65377015634988</v>
      </c>
      <c r="D156" s="4">
        <f t="shared" si="5"/>
        <v>1607.9049158470175</v>
      </c>
      <c r="E156" s="3">
        <f t="shared" si="4"/>
        <v>244808.95530434157</v>
      </c>
    </row>
    <row r="157" spans="1:5" x14ac:dyDescent="0.25">
      <c r="A157">
        <v>154</v>
      </c>
      <c r="B157" s="4">
        <f>-PPMT('With Loan'!$D$41/12,'30% Down Amortization'!$A157,360,'With Loan'!$D$40,0,0)</f>
        <v>842.87693052095062</v>
      </c>
      <c r="C157" s="4">
        <f>-IPMT('With Loan'!$D$41/12,'30% Down Amortization'!$A157,360,'With Loan'!$D$40,0,0)</f>
        <v>765.02798532606664</v>
      </c>
      <c r="D157" s="4">
        <f t="shared" si="5"/>
        <v>1607.9049158470173</v>
      </c>
      <c r="E157" s="3">
        <f t="shared" si="4"/>
        <v>243966.07837382061</v>
      </c>
    </row>
    <row r="158" spans="1:5" x14ac:dyDescent="0.25">
      <c r="A158">
        <v>155</v>
      </c>
      <c r="B158" s="4">
        <f>-PPMT('With Loan'!$D$41/12,'30% Down Amortization'!$A158,360,'With Loan'!$D$40,0,0)</f>
        <v>845.5109209288288</v>
      </c>
      <c r="C158" s="4">
        <f>-IPMT('With Loan'!$D$41/12,'30% Down Amortization'!$A158,360,'With Loan'!$D$40,0,0)</f>
        <v>762.39399491818858</v>
      </c>
      <c r="D158" s="4">
        <f t="shared" si="5"/>
        <v>1607.9049158470175</v>
      </c>
      <c r="E158" s="3">
        <f t="shared" si="4"/>
        <v>243120.56745289179</v>
      </c>
    </row>
    <row r="159" spans="1:5" x14ac:dyDescent="0.25">
      <c r="A159">
        <v>156</v>
      </c>
      <c r="B159" s="4">
        <f>-PPMT('With Loan'!$D$41/12,'30% Down Amortization'!$A159,360,'With Loan'!$D$40,0,0)</f>
        <v>848.15314255673127</v>
      </c>
      <c r="C159" s="4">
        <f>-IPMT('With Loan'!$D$41/12,'30% Down Amortization'!$A159,360,'With Loan'!$D$40,0,0)</f>
        <v>759.751773290286</v>
      </c>
      <c r="D159" s="4">
        <f t="shared" si="5"/>
        <v>1607.9049158470173</v>
      </c>
      <c r="E159" s="3">
        <f t="shared" si="4"/>
        <v>242272.41431033507</v>
      </c>
    </row>
    <row r="160" spans="1:5" x14ac:dyDescent="0.25">
      <c r="A160">
        <v>157</v>
      </c>
      <c r="B160" s="4">
        <f>-PPMT('With Loan'!$D$41/12,'30% Down Amortization'!$A160,360,'With Loan'!$D$40,0,0)</f>
        <v>850.80362112722116</v>
      </c>
      <c r="C160" s="4">
        <f>-IPMT('With Loan'!$D$41/12,'30% Down Amortization'!$A160,360,'With Loan'!$D$40,0,0)</f>
        <v>757.10129471979633</v>
      </c>
      <c r="D160" s="4">
        <f t="shared" si="5"/>
        <v>1607.9049158470175</v>
      </c>
      <c r="E160" s="3">
        <f t="shared" si="4"/>
        <v>241421.61068920785</v>
      </c>
    </row>
    <row r="161" spans="1:5" x14ac:dyDescent="0.25">
      <c r="A161">
        <v>158</v>
      </c>
      <c r="B161" s="4">
        <f>-PPMT('With Loan'!$D$41/12,'30% Down Amortization'!$A161,360,'With Loan'!$D$40,0,0)</f>
        <v>853.46238244324365</v>
      </c>
      <c r="C161" s="4">
        <f>-IPMT('With Loan'!$D$41/12,'30% Down Amortization'!$A161,360,'With Loan'!$D$40,0,0)</f>
        <v>754.44253340377384</v>
      </c>
      <c r="D161" s="4">
        <f t="shared" si="5"/>
        <v>1607.9049158470175</v>
      </c>
      <c r="E161" s="3">
        <f t="shared" si="4"/>
        <v>240568.1483067646</v>
      </c>
    </row>
    <row r="162" spans="1:5" x14ac:dyDescent="0.25">
      <c r="A162">
        <v>159</v>
      </c>
      <c r="B162" s="4">
        <f>-PPMT('With Loan'!$D$41/12,'30% Down Amortization'!$A162,360,'With Loan'!$D$40,0,0)</f>
        <v>856.1294523883787</v>
      </c>
      <c r="C162" s="4">
        <f>-IPMT('With Loan'!$D$41/12,'30% Down Amortization'!$A162,360,'With Loan'!$D$40,0,0)</f>
        <v>751.7754634586388</v>
      </c>
      <c r="D162" s="4">
        <f t="shared" si="5"/>
        <v>1607.9049158470175</v>
      </c>
      <c r="E162" s="3">
        <f t="shared" ref="E162:E225" si="6">E161-B162</f>
        <v>239712.01885437622</v>
      </c>
    </row>
    <row r="163" spans="1:5" x14ac:dyDescent="0.25">
      <c r="A163">
        <v>160</v>
      </c>
      <c r="B163" s="4">
        <f>-PPMT('With Loan'!$D$41/12,'30% Down Amortization'!$A163,360,'With Loan'!$D$40,0,0)</f>
        <v>858.8048569270926</v>
      </c>
      <c r="C163" s="4">
        <f>-IPMT('With Loan'!$D$41/12,'30% Down Amortization'!$A163,360,'With Loan'!$D$40,0,0)</f>
        <v>749.10005891992512</v>
      </c>
      <c r="D163" s="4">
        <f t="shared" si="5"/>
        <v>1607.9049158470177</v>
      </c>
      <c r="E163" s="3">
        <f t="shared" si="6"/>
        <v>238853.21399744911</v>
      </c>
    </row>
    <row r="164" spans="1:5" x14ac:dyDescent="0.25">
      <c r="A164">
        <v>161</v>
      </c>
      <c r="B164" s="4">
        <f>-PPMT('With Loan'!$D$41/12,'30% Down Amortization'!$A164,360,'With Loan'!$D$40,0,0)</f>
        <v>861.48862210498964</v>
      </c>
      <c r="C164" s="4">
        <f>-IPMT('With Loan'!$D$41/12,'30% Down Amortization'!$A164,360,'With Loan'!$D$40,0,0)</f>
        <v>746.41629374202785</v>
      </c>
      <c r="D164" s="4">
        <f t="shared" si="5"/>
        <v>1607.9049158470175</v>
      </c>
      <c r="E164" s="3">
        <f t="shared" si="6"/>
        <v>237991.72537534413</v>
      </c>
    </row>
    <row r="165" spans="1:5" x14ac:dyDescent="0.25">
      <c r="A165">
        <v>162</v>
      </c>
      <c r="B165" s="4">
        <f>-PPMT('With Loan'!$D$41/12,'30% Down Amortization'!$A165,360,'With Loan'!$D$40,0,0)</f>
        <v>864.18077404906774</v>
      </c>
      <c r="C165" s="4">
        <f>-IPMT('With Loan'!$D$41/12,'30% Down Amortization'!$A165,360,'With Loan'!$D$40,0,0)</f>
        <v>743.72414179794976</v>
      </c>
      <c r="D165" s="4">
        <f t="shared" si="5"/>
        <v>1607.9049158470175</v>
      </c>
      <c r="E165" s="3">
        <f t="shared" si="6"/>
        <v>237127.54460129506</v>
      </c>
    </row>
    <row r="166" spans="1:5" x14ac:dyDescent="0.25">
      <c r="A166">
        <v>163</v>
      </c>
      <c r="B166" s="4">
        <f>-PPMT('With Loan'!$D$41/12,'30% Down Amortization'!$A166,360,'With Loan'!$D$40,0,0)</f>
        <v>866.88133896797115</v>
      </c>
      <c r="C166" s="4">
        <f>-IPMT('With Loan'!$D$41/12,'30% Down Amortization'!$A166,360,'With Loan'!$D$40,0,0)</f>
        <v>741.02357687904646</v>
      </c>
      <c r="D166" s="4">
        <f t="shared" si="5"/>
        <v>1607.9049158470175</v>
      </c>
      <c r="E166" s="3">
        <f t="shared" si="6"/>
        <v>236260.66326232709</v>
      </c>
    </row>
    <row r="167" spans="1:5" x14ac:dyDescent="0.25">
      <c r="A167">
        <v>164</v>
      </c>
      <c r="B167" s="4">
        <f>-PPMT('With Loan'!$D$41/12,'30% Down Amortization'!$A167,360,'With Loan'!$D$40,0,0)</f>
        <v>869.59034315224596</v>
      </c>
      <c r="C167" s="4">
        <f>-IPMT('With Loan'!$D$41/12,'30% Down Amortization'!$A167,360,'With Loan'!$D$40,0,0)</f>
        <v>738.31457269477153</v>
      </c>
      <c r="D167" s="4">
        <f t="shared" si="5"/>
        <v>1607.9049158470175</v>
      </c>
      <c r="E167" s="3">
        <f t="shared" si="6"/>
        <v>235391.07291917483</v>
      </c>
    </row>
    <row r="168" spans="1:5" x14ac:dyDescent="0.25">
      <c r="A168">
        <v>165</v>
      </c>
      <c r="B168" s="4">
        <f>-PPMT('With Loan'!$D$41/12,'30% Down Amortization'!$A168,360,'With Loan'!$D$40,0,0)</f>
        <v>872.3078129745968</v>
      </c>
      <c r="C168" s="4">
        <f>-IPMT('With Loan'!$D$41/12,'30% Down Amortization'!$A168,360,'With Loan'!$D$40,0,0)</f>
        <v>735.59710287242081</v>
      </c>
      <c r="D168" s="4">
        <f t="shared" si="5"/>
        <v>1607.9049158470175</v>
      </c>
      <c r="E168" s="3">
        <f t="shared" si="6"/>
        <v>234518.76510620024</v>
      </c>
    </row>
    <row r="169" spans="1:5" x14ac:dyDescent="0.25">
      <c r="A169">
        <v>166</v>
      </c>
      <c r="B169" s="4">
        <f>-PPMT('With Loan'!$D$41/12,'30% Down Amortization'!$A169,360,'With Loan'!$D$40,0,0)</f>
        <v>875.03377489014247</v>
      </c>
      <c r="C169" s="4">
        <f>-IPMT('With Loan'!$D$41/12,'30% Down Amortization'!$A169,360,'With Loan'!$D$40,0,0)</f>
        <v>732.87114095687491</v>
      </c>
      <c r="D169" s="4">
        <f t="shared" si="5"/>
        <v>1607.9049158470175</v>
      </c>
      <c r="E169" s="3">
        <f t="shared" si="6"/>
        <v>233643.73133131009</v>
      </c>
    </row>
    <row r="170" spans="1:5" x14ac:dyDescent="0.25">
      <c r="A170">
        <v>167</v>
      </c>
      <c r="B170" s="4">
        <f>-PPMT('With Loan'!$D$41/12,'30% Down Amortization'!$A170,360,'With Loan'!$D$40,0,0)</f>
        <v>877.76825543667417</v>
      </c>
      <c r="C170" s="4">
        <f>-IPMT('With Loan'!$D$41/12,'30% Down Amortization'!$A170,360,'With Loan'!$D$40,0,0)</f>
        <v>730.13666041034344</v>
      </c>
      <c r="D170" s="4">
        <f t="shared" si="5"/>
        <v>1607.9049158470175</v>
      </c>
      <c r="E170" s="3">
        <f t="shared" si="6"/>
        <v>232765.96307587341</v>
      </c>
    </row>
    <row r="171" spans="1:5" x14ac:dyDescent="0.25">
      <c r="A171">
        <v>168</v>
      </c>
      <c r="B171" s="4">
        <f>-PPMT('With Loan'!$D$41/12,'30% Down Amortization'!$A171,360,'With Loan'!$D$40,0,0)</f>
        <v>880.51128123491378</v>
      </c>
      <c r="C171" s="4">
        <f>-IPMT('With Loan'!$D$41/12,'30% Down Amortization'!$A171,360,'With Loan'!$D$40,0,0)</f>
        <v>727.39363461210382</v>
      </c>
      <c r="D171" s="4">
        <f t="shared" si="5"/>
        <v>1607.9049158470175</v>
      </c>
      <c r="E171" s="3">
        <f t="shared" si="6"/>
        <v>231885.4517946385</v>
      </c>
    </row>
    <row r="172" spans="1:5" x14ac:dyDescent="0.25">
      <c r="A172">
        <v>169</v>
      </c>
      <c r="B172" s="4">
        <f>-PPMT('With Loan'!$D$41/12,'30% Down Amortization'!$A172,360,'With Loan'!$D$40,0,0)</f>
        <v>883.26287898877285</v>
      </c>
      <c r="C172" s="4">
        <f>-IPMT('With Loan'!$D$41/12,'30% Down Amortization'!$A172,360,'With Loan'!$D$40,0,0)</f>
        <v>724.64203685824464</v>
      </c>
      <c r="D172" s="4">
        <f t="shared" si="5"/>
        <v>1607.9049158470175</v>
      </c>
      <c r="E172" s="3">
        <f t="shared" si="6"/>
        <v>231002.18891564972</v>
      </c>
    </row>
    <row r="173" spans="1:5" x14ac:dyDescent="0.25">
      <c r="A173">
        <v>170</v>
      </c>
      <c r="B173" s="4">
        <f>-PPMT('With Loan'!$D$41/12,'30% Down Amortization'!$A173,360,'With Loan'!$D$40,0,0)</f>
        <v>886.02307548561271</v>
      </c>
      <c r="C173" s="4">
        <f>-IPMT('With Loan'!$D$41/12,'30% Down Amortization'!$A173,360,'With Loan'!$D$40,0,0)</f>
        <v>721.88184036140467</v>
      </c>
      <c r="D173" s="4">
        <f t="shared" si="5"/>
        <v>1607.9049158470175</v>
      </c>
      <c r="E173" s="3">
        <f t="shared" si="6"/>
        <v>230116.16584016412</v>
      </c>
    </row>
    <row r="174" spans="1:5" x14ac:dyDescent="0.25">
      <c r="A174">
        <v>171</v>
      </c>
      <c r="B174" s="4">
        <f>-PPMT('With Loan'!$D$41/12,'30% Down Amortization'!$A174,360,'With Loan'!$D$40,0,0)</f>
        <v>888.79189759650524</v>
      </c>
      <c r="C174" s="4">
        <f>-IPMT('With Loan'!$D$41/12,'30% Down Amortization'!$A174,360,'With Loan'!$D$40,0,0)</f>
        <v>719.11301825051225</v>
      </c>
      <c r="D174" s="4">
        <f t="shared" si="5"/>
        <v>1607.9049158470175</v>
      </c>
      <c r="E174" s="3">
        <f t="shared" si="6"/>
        <v>229227.37394256762</v>
      </c>
    </row>
    <row r="175" spans="1:5" x14ac:dyDescent="0.25">
      <c r="A175">
        <v>172</v>
      </c>
      <c r="B175" s="4">
        <f>-PPMT('With Loan'!$D$41/12,'30% Down Amortization'!$A175,360,'With Loan'!$D$40,0,0)</f>
        <v>891.56937227649439</v>
      </c>
      <c r="C175" s="4">
        <f>-IPMT('With Loan'!$D$41/12,'30% Down Amortization'!$A175,360,'With Loan'!$D$40,0,0)</f>
        <v>716.3355435705231</v>
      </c>
      <c r="D175" s="4">
        <f t="shared" si="5"/>
        <v>1607.9049158470175</v>
      </c>
      <c r="E175" s="3">
        <f t="shared" si="6"/>
        <v>228335.80457029113</v>
      </c>
    </row>
    <row r="176" spans="1:5" x14ac:dyDescent="0.25">
      <c r="A176">
        <v>173</v>
      </c>
      <c r="B176" s="4">
        <f>-PPMT('With Loan'!$D$41/12,'30% Down Amortization'!$A176,360,'With Loan'!$D$40,0,0)</f>
        <v>894.35552656485822</v>
      </c>
      <c r="C176" s="4">
        <f>-IPMT('With Loan'!$D$41/12,'30% Down Amortization'!$A176,360,'With Loan'!$D$40,0,0)</f>
        <v>713.54938928215904</v>
      </c>
      <c r="D176" s="4">
        <f t="shared" si="5"/>
        <v>1607.9049158470173</v>
      </c>
      <c r="E176" s="3">
        <f t="shared" si="6"/>
        <v>227441.44904372629</v>
      </c>
    </row>
    <row r="177" spans="1:5" x14ac:dyDescent="0.25">
      <c r="A177">
        <v>174</v>
      </c>
      <c r="B177" s="4">
        <f>-PPMT('With Loan'!$D$41/12,'30% Down Amortization'!$A177,360,'With Loan'!$D$40,0,0)</f>
        <v>897.15038758537366</v>
      </c>
      <c r="C177" s="4">
        <f>-IPMT('With Loan'!$D$41/12,'30% Down Amortization'!$A177,360,'With Loan'!$D$40,0,0)</f>
        <v>710.75452826164405</v>
      </c>
      <c r="D177" s="4">
        <f t="shared" si="5"/>
        <v>1607.9049158470177</v>
      </c>
      <c r="E177" s="3">
        <f t="shared" si="6"/>
        <v>226544.29865614092</v>
      </c>
    </row>
    <row r="178" spans="1:5" x14ac:dyDescent="0.25">
      <c r="A178">
        <v>175</v>
      </c>
      <c r="B178" s="4">
        <f>-PPMT('With Loan'!$D$41/12,'30% Down Amortization'!$A178,360,'With Loan'!$D$40,0,0)</f>
        <v>899.95398254657789</v>
      </c>
      <c r="C178" s="4">
        <f>-IPMT('With Loan'!$D$41/12,'30% Down Amortization'!$A178,360,'With Loan'!$D$40,0,0)</f>
        <v>707.95093330043949</v>
      </c>
      <c r="D178" s="4">
        <f t="shared" si="5"/>
        <v>1607.9049158470175</v>
      </c>
      <c r="E178" s="3">
        <f t="shared" si="6"/>
        <v>225644.34467359434</v>
      </c>
    </row>
    <row r="179" spans="1:5" x14ac:dyDescent="0.25">
      <c r="A179">
        <v>176</v>
      </c>
      <c r="B179" s="4">
        <f>-PPMT('With Loan'!$D$41/12,'30% Down Amortization'!$A179,360,'With Loan'!$D$40,0,0)</f>
        <v>902.76633874203571</v>
      </c>
      <c r="C179" s="4">
        <f>-IPMT('With Loan'!$D$41/12,'30% Down Amortization'!$A179,360,'With Loan'!$D$40,0,0)</f>
        <v>705.13857710498166</v>
      </c>
      <c r="D179" s="4">
        <f t="shared" si="5"/>
        <v>1607.9049158470175</v>
      </c>
      <c r="E179" s="3">
        <f t="shared" si="6"/>
        <v>224741.5783348523</v>
      </c>
    </row>
    <row r="180" spans="1:5" x14ac:dyDescent="0.25">
      <c r="A180">
        <v>177</v>
      </c>
      <c r="B180" s="4">
        <f>-PPMT('With Loan'!$D$41/12,'30% Down Amortization'!$A180,360,'With Loan'!$D$40,0,0)</f>
        <v>905.58748355060482</v>
      </c>
      <c r="C180" s="4">
        <f>-IPMT('With Loan'!$D$41/12,'30% Down Amortization'!$A180,360,'With Loan'!$D$40,0,0)</f>
        <v>702.31743229641256</v>
      </c>
      <c r="D180" s="4">
        <f t="shared" si="5"/>
        <v>1607.9049158470175</v>
      </c>
      <c r="E180" s="3">
        <f t="shared" si="6"/>
        <v>223835.9908513017</v>
      </c>
    </row>
    <row r="181" spans="1:5" x14ac:dyDescent="0.25">
      <c r="A181">
        <v>178</v>
      </c>
      <c r="B181" s="4">
        <f>-PPMT('With Loan'!$D$41/12,'30% Down Amortization'!$A181,360,'With Loan'!$D$40,0,0)</f>
        <v>908.41744443670041</v>
      </c>
      <c r="C181" s="4">
        <f>-IPMT('With Loan'!$D$41/12,'30% Down Amortization'!$A181,360,'With Loan'!$D$40,0,0)</f>
        <v>699.48747141031697</v>
      </c>
      <c r="D181" s="4">
        <f t="shared" si="5"/>
        <v>1607.9049158470175</v>
      </c>
      <c r="E181" s="3">
        <f t="shared" si="6"/>
        <v>222927.57340686501</v>
      </c>
    </row>
    <row r="182" spans="1:5" x14ac:dyDescent="0.25">
      <c r="A182">
        <v>179</v>
      </c>
      <c r="B182" s="4">
        <f>-PPMT('With Loan'!$D$41/12,'30% Down Amortization'!$A182,360,'With Loan'!$D$40,0,0)</f>
        <v>911.25624895056512</v>
      </c>
      <c r="C182" s="4">
        <f>-IPMT('With Loan'!$D$41/12,'30% Down Amortization'!$A182,360,'With Loan'!$D$40,0,0)</f>
        <v>696.64866689645237</v>
      </c>
      <c r="D182" s="4">
        <f t="shared" si="5"/>
        <v>1607.9049158470175</v>
      </c>
      <c r="E182" s="3">
        <f t="shared" si="6"/>
        <v>222016.31715791445</v>
      </c>
    </row>
    <row r="183" spans="1:5" x14ac:dyDescent="0.25">
      <c r="A183">
        <v>180</v>
      </c>
      <c r="B183" s="4">
        <f>-PPMT('With Loan'!$D$41/12,'30% Down Amortization'!$A183,360,'With Loan'!$D$40,0,0)</f>
        <v>914.10392472853562</v>
      </c>
      <c r="C183" s="4">
        <f>-IPMT('With Loan'!$D$41/12,'30% Down Amortization'!$A183,360,'With Loan'!$D$40,0,0)</f>
        <v>693.80099111848176</v>
      </c>
      <c r="D183" s="4">
        <f t="shared" si="5"/>
        <v>1607.9049158470175</v>
      </c>
      <c r="E183" s="3">
        <f t="shared" si="6"/>
        <v>221102.21323318593</v>
      </c>
    </row>
    <row r="184" spans="1:5" x14ac:dyDescent="0.25">
      <c r="A184">
        <v>181</v>
      </c>
      <c r="B184" s="4">
        <f>-PPMT('With Loan'!$D$41/12,'30% Down Amortization'!$A184,360,'With Loan'!$D$40,0,0)</f>
        <v>916.96049949331223</v>
      </c>
      <c r="C184" s="4">
        <f>-IPMT('With Loan'!$D$41/12,'30% Down Amortization'!$A184,360,'With Loan'!$D$40,0,0)</f>
        <v>690.94441635370504</v>
      </c>
      <c r="D184" s="4">
        <f t="shared" si="5"/>
        <v>1607.9049158470173</v>
      </c>
      <c r="E184" s="3">
        <f t="shared" si="6"/>
        <v>220185.25273369261</v>
      </c>
    </row>
    <row r="185" spans="1:5" x14ac:dyDescent="0.25">
      <c r="A185">
        <v>182</v>
      </c>
      <c r="B185" s="4">
        <f>-PPMT('With Loan'!$D$41/12,'30% Down Amortization'!$A185,360,'With Loan'!$D$40,0,0)</f>
        <v>919.82600105422875</v>
      </c>
      <c r="C185" s="4">
        <f>-IPMT('With Loan'!$D$41/12,'30% Down Amortization'!$A185,360,'With Loan'!$D$40,0,0)</f>
        <v>688.07891479278862</v>
      </c>
      <c r="D185" s="4">
        <f t="shared" si="5"/>
        <v>1607.9049158470175</v>
      </c>
      <c r="E185" s="3">
        <f t="shared" si="6"/>
        <v>219265.42673263839</v>
      </c>
    </row>
    <row r="186" spans="1:5" x14ac:dyDescent="0.25">
      <c r="A186">
        <v>183</v>
      </c>
      <c r="B186" s="4">
        <f>-PPMT('With Loan'!$D$41/12,'30% Down Amortization'!$A186,360,'With Loan'!$D$40,0,0)</f>
        <v>922.70045730752327</v>
      </c>
      <c r="C186" s="4">
        <f>-IPMT('With Loan'!$D$41/12,'30% Down Amortization'!$A186,360,'With Loan'!$D$40,0,0)</f>
        <v>685.20445853949411</v>
      </c>
      <c r="D186" s="4">
        <f t="shared" si="5"/>
        <v>1607.9049158470175</v>
      </c>
      <c r="E186" s="3">
        <f t="shared" si="6"/>
        <v>218342.72627533088</v>
      </c>
    </row>
    <row r="187" spans="1:5" x14ac:dyDescent="0.25">
      <c r="A187">
        <v>184</v>
      </c>
      <c r="B187" s="4">
        <f>-PPMT('With Loan'!$D$41/12,'30% Down Amortization'!$A187,360,'With Loan'!$D$40,0,0)</f>
        <v>925.58389623660946</v>
      </c>
      <c r="C187" s="4">
        <f>-IPMT('With Loan'!$D$41/12,'30% Down Amortization'!$A187,360,'With Loan'!$D$40,0,0)</f>
        <v>682.32101961040826</v>
      </c>
      <c r="D187" s="4">
        <f t="shared" si="5"/>
        <v>1607.9049158470177</v>
      </c>
      <c r="E187" s="3">
        <f t="shared" si="6"/>
        <v>217417.14237909426</v>
      </c>
    </row>
    <row r="188" spans="1:5" x14ac:dyDescent="0.25">
      <c r="A188">
        <v>185</v>
      </c>
      <c r="B188" s="4">
        <f>-PPMT('With Loan'!$D$41/12,'30% Down Amortization'!$A188,360,'With Loan'!$D$40,0,0)</f>
        <v>928.47634591234885</v>
      </c>
      <c r="C188" s="4">
        <f>-IPMT('With Loan'!$D$41/12,'30% Down Amortization'!$A188,360,'With Loan'!$D$40,0,0)</f>
        <v>679.42856993466876</v>
      </c>
      <c r="D188" s="4">
        <f t="shared" si="5"/>
        <v>1607.9049158470175</v>
      </c>
      <c r="E188" s="3">
        <f t="shared" si="6"/>
        <v>216488.66603318191</v>
      </c>
    </row>
    <row r="189" spans="1:5" x14ac:dyDescent="0.25">
      <c r="A189">
        <v>186</v>
      </c>
      <c r="B189" s="4">
        <f>-PPMT('With Loan'!$D$41/12,'30% Down Amortization'!$A189,360,'With Loan'!$D$40,0,0)</f>
        <v>931.37783449332483</v>
      </c>
      <c r="C189" s="4">
        <f>-IPMT('With Loan'!$D$41/12,'30% Down Amortization'!$A189,360,'With Loan'!$D$40,0,0)</f>
        <v>676.52708135369255</v>
      </c>
      <c r="D189" s="4">
        <f t="shared" si="5"/>
        <v>1607.9049158470175</v>
      </c>
      <c r="E189" s="3">
        <f t="shared" si="6"/>
        <v>215557.28819868859</v>
      </c>
    </row>
    <row r="190" spans="1:5" x14ac:dyDescent="0.25">
      <c r="A190">
        <v>187</v>
      </c>
      <c r="B190" s="4">
        <f>-PPMT('With Loan'!$D$41/12,'30% Down Amortization'!$A190,360,'With Loan'!$D$40,0,0)</f>
        <v>934.28839022611635</v>
      </c>
      <c r="C190" s="4">
        <f>-IPMT('With Loan'!$D$41/12,'30% Down Amortization'!$A190,360,'With Loan'!$D$40,0,0)</f>
        <v>673.61652562090103</v>
      </c>
      <c r="D190" s="4">
        <f t="shared" si="5"/>
        <v>1607.9049158470175</v>
      </c>
      <c r="E190" s="3">
        <f t="shared" si="6"/>
        <v>214622.99980846248</v>
      </c>
    </row>
    <row r="191" spans="1:5" x14ac:dyDescent="0.25">
      <c r="A191">
        <v>188</v>
      </c>
      <c r="B191" s="4">
        <f>-PPMT('With Loan'!$D$41/12,'30% Down Amortization'!$A191,360,'With Loan'!$D$40,0,0)</f>
        <v>937.20804144557303</v>
      </c>
      <c r="C191" s="4">
        <f>-IPMT('With Loan'!$D$41/12,'30% Down Amortization'!$A191,360,'With Loan'!$D$40,0,0)</f>
        <v>670.69687440144435</v>
      </c>
      <c r="D191" s="4">
        <f t="shared" si="5"/>
        <v>1607.9049158470175</v>
      </c>
      <c r="E191" s="3">
        <f t="shared" si="6"/>
        <v>213685.7917670169</v>
      </c>
    </row>
    <row r="192" spans="1:5" x14ac:dyDescent="0.25">
      <c r="A192">
        <v>189</v>
      </c>
      <c r="B192" s="4">
        <f>-PPMT('With Loan'!$D$41/12,'30% Down Amortization'!$A192,360,'With Loan'!$D$40,0,0)</f>
        <v>940.13681657509051</v>
      </c>
      <c r="C192" s="4">
        <f>-IPMT('With Loan'!$D$41/12,'30% Down Amortization'!$A192,360,'With Loan'!$D$40,0,0)</f>
        <v>667.76809927192699</v>
      </c>
      <c r="D192" s="4">
        <f t="shared" si="5"/>
        <v>1607.9049158470175</v>
      </c>
      <c r="E192" s="3">
        <f t="shared" si="6"/>
        <v>212745.65495044179</v>
      </c>
    </row>
    <row r="193" spans="1:5" x14ac:dyDescent="0.25">
      <c r="A193">
        <v>190</v>
      </c>
      <c r="B193" s="4">
        <f>-PPMT('With Loan'!$D$41/12,'30% Down Amortization'!$A193,360,'With Loan'!$D$40,0,0)</f>
        <v>943.07474412688759</v>
      </c>
      <c r="C193" s="4">
        <f>-IPMT('With Loan'!$D$41/12,'30% Down Amortization'!$A193,360,'With Loan'!$D$40,0,0)</f>
        <v>664.83017172012978</v>
      </c>
      <c r="D193" s="4">
        <f t="shared" si="5"/>
        <v>1607.9049158470175</v>
      </c>
      <c r="E193" s="3">
        <f t="shared" si="6"/>
        <v>211802.58020631492</v>
      </c>
    </row>
    <row r="194" spans="1:5" x14ac:dyDescent="0.25">
      <c r="A194">
        <v>191</v>
      </c>
      <c r="B194" s="4">
        <f>-PPMT('With Loan'!$D$41/12,'30% Down Amortization'!$A194,360,'With Loan'!$D$40,0,0)</f>
        <v>946.02185270228415</v>
      </c>
      <c r="C194" s="4">
        <f>-IPMT('With Loan'!$D$41/12,'30% Down Amortization'!$A194,360,'With Loan'!$D$40,0,0)</f>
        <v>661.88306314473334</v>
      </c>
      <c r="D194" s="4">
        <f t="shared" si="5"/>
        <v>1607.9049158470175</v>
      </c>
      <c r="E194" s="3">
        <f t="shared" si="6"/>
        <v>210856.55835361264</v>
      </c>
    </row>
    <row r="195" spans="1:5" x14ac:dyDescent="0.25">
      <c r="A195">
        <v>192</v>
      </c>
      <c r="B195" s="4">
        <f>-PPMT('With Loan'!$D$41/12,'30% Down Amortization'!$A195,360,'With Loan'!$D$40,0,0)</f>
        <v>948.9781709919788</v>
      </c>
      <c r="C195" s="4">
        <f>-IPMT('With Loan'!$D$41/12,'30% Down Amortization'!$A195,360,'With Loan'!$D$40,0,0)</f>
        <v>658.92674485503858</v>
      </c>
      <c r="D195" s="4">
        <f t="shared" si="5"/>
        <v>1607.9049158470175</v>
      </c>
      <c r="E195" s="3">
        <f t="shared" si="6"/>
        <v>209907.58018262064</v>
      </c>
    </row>
    <row r="196" spans="1:5" x14ac:dyDescent="0.25">
      <c r="A196">
        <v>193</v>
      </c>
      <c r="B196" s="4">
        <f>-PPMT('With Loan'!$D$41/12,'30% Down Amortization'!$A196,360,'With Loan'!$D$40,0,0)</f>
        <v>951.94372777632861</v>
      </c>
      <c r="C196" s="4">
        <f>-IPMT('With Loan'!$D$41/12,'30% Down Amortization'!$A196,360,'With Loan'!$D$40,0,0)</f>
        <v>655.96118807068876</v>
      </c>
      <c r="D196" s="4">
        <f t="shared" si="5"/>
        <v>1607.9049158470175</v>
      </c>
      <c r="E196" s="3">
        <f t="shared" si="6"/>
        <v>208955.63645484432</v>
      </c>
    </row>
    <row r="197" spans="1:5" x14ac:dyDescent="0.25">
      <c r="A197">
        <v>194</v>
      </c>
      <c r="B197" s="4">
        <f>-PPMT('With Loan'!$D$41/12,'30% Down Amortization'!$A197,360,'With Loan'!$D$40,0,0)</f>
        <v>954.91855192562969</v>
      </c>
      <c r="C197" s="4">
        <f>-IPMT('With Loan'!$D$41/12,'30% Down Amortization'!$A197,360,'With Loan'!$D$40,0,0)</f>
        <v>652.98636392138769</v>
      </c>
      <c r="D197" s="4">
        <f t="shared" ref="D197:D260" si="7">B197+C197</f>
        <v>1607.9049158470175</v>
      </c>
      <c r="E197" s="3">
        <f t="shared" si="6"/>
        <v>208000.7179029187</v>
      </c>
    </row>
    <row r="198" spans="1:5" x14ac:dyDescent="0.25">
      <c r="A198">
        <v>195</v>
      </c>
      <c r="B198" s="4">
        <f>-PPMT('With Loan'!$D$41/12,'30% Down Amortization'!$A198,360,'With Loan'!$D$40,0,0)</f>
        <v>957.90267240039748</v>
      </c>
      <c r="C198" s="4">
        <f>-IPMT('With Loan'!$D$41/12,'30% Down Amortization'!$A198,360,'With Loan'!$D$40,0,0)</f>
        <v>650.00224344662001</v>
      </c>
      <c r="D198" s="4">
        <f t="shared" si="7"/>
        <v>1607.9049158470175</v>
      </c>
      <c r="E198" s="3">
        <f t="shared" si="6"/>
        <v>207042.81523051829</v>
      </c>
    </row>
    <row r="199" spans="1:5" x14ac:dyDescent="0.25">
      <c r="A199">
        <v>196</v>
      </c>
      <c r="B199" s="4">
        <f>-PPMT('With Loan'!$D$41/12,'30% Down Amortization'!$A199,360,'With Loan'!$D$40,0,0)</f>
        <v>960.89611825164855</v>
      </c>
      <c r="C199" s="4">
        <f>-IPMT('With Loan'!$D$41/12,'30% Down Amortization'!$A199,360,'With Loan'!$D$40,0,0)</f>
        <v>647.00879759536883</v>
      </c>
      <c r="D199" s="4">
        <f t="shared" si="7"/>
        <v>1607.9049158470175</v>
      </c>
      <c r="E199" s="3">
        <f t="shared" si="6"/>
        <v>206081.91911226665</v>
      </c>
    </row>
    <row r="200" spans="1:5" x14ac:dyDescent="0.25">
      <c r="A200">
        <v>197</v>
      </c>
      <c r="B200" s="4">
        <f>-PPMT('With Loan'!$D$41/12,'30% Down Amortization'!$A200,360,'With Loan'!$D$40,0,0)</f>
        <v>963.89891862118498</v>
      </c>
      <c r="C200" s="4">
        <f>-IPMT('With Loan'!$D$41/12,'30% Down Amortization'!$A200,360,'With Loan'!$D$40,0,0)</f>
        <v>644.0059972258324</v>
      </c>
      <c r="D200" s="4">
        <f t="shared" si="7"/>
        <v>1607.9049158470175</v>
      </c>
      <c r="E200" s="3">
        <f t="shared" si="6"/>
        <v>205118.02019364547</v>
      </c>
    </row>
    <row r="201" spans="1:5" x14ac:dyDescent="0.25">
      <c r="A201">
        <v>198</v>
      </c>
      <c r="B201" s="4">
        <f>-PPMT('With Loan'!$D$41/12,'30% Down Amortization'!$A201,360,'With Loan'!$D$40,0,0)</f>
        <v>966.91110274187622</v>
      </c>
      <c r="C201" s="4">
        <f>-IPMT('With Loan'!$D$41/12,'30% Down Amortization'!$A201,360,'With Loan'!$D$40,0,0)</f>
        <v>640.99381310514127</v>
      </c>
      <c r="D201" s="4">
        <f t="shared" si="7"/>
        <v>1607.9049158470175</v>
      </c>
      <c r="E201" s="3">
        <f t="shared" si="6"/>
        <v>204151.1090909036</v>
      </c>
    </row>
    <row r="202" spans="1:5" x14ac:dyDescent="0.25">
      <c r="A202">
        <v>199</v>
      </c>
      <c r="B202" s="4">
        <f>-PPMT('With Loan'!$D$41/12,'30% Down Amortization'!$A202,360,'With Loan'!$D$40,0,0)</f>
        <v>969.93269993794468</v>
      </c>
      <c r="C202" s="4">
        <f>-IPMT('With Loan'!$D$41/12,'30% Down Amortization'!$A202,360,'With Loan'!$D$40,0,0)</f>
        <v>637.97221590907293</v>
      </c>
      <c r="D202" s="4">
        <f t="shared" si="7"/>
        <v>1607.9049158470175</v>
      </c>
      <c r="E202" s="3">
        <f t="shared" si="6"/>
        <v>203181.17639096564</v>
      </c>
    </row>
    <row r="203" spans="1:5" x14ac:dyDescent="0.25">
      <c r="A203">
        <v>200</v>
      </c>
      <c r="B203" s="4">
        <f>-PPMT('With Loan'!$D$41/12,'30% Down Amortization'!$A203,360,'With Loan'!$D$40,0,0)</f>
        <v>972.96373962525058</v>
      </c>
      <c r="C203" s="4">
        <f>-IPMT('With Loan'!$D$41/12,'30% Down Amortization'!$A203,360,'With Loan'!$D$40,0,0)</f>
        <v>634.9411762217668</v>
      </c>
      <c r="D203" s="4">
        <f t="shared" si="7"/>
        <v>1607.9049158470175</v>
      </c>
      <c r="E203" s="3">
        <f t="shared" si="6"/>
        <v>202208.21265134041</v>
      </c>
    </row>
    <row r="204" spans="1:5" x14ac:dyDescent="0.25">
      <c r="A204">
        <v>201</v>
      </c>
      <c r="B204" s="4">
        <f>-PPMT('With Loan'!$D$41/12,'30% Down Amortization'!$A204,360,'With Loan'!$D$40,0,0)</f>
        <v>976.00425131157965</v>
      </c>
      <c r="C204" s="4">
        <f>-IPMT('With Loan'!$D$41/12,'30% Down Amortization'!$A204,360,'With Loan'!$D$40,0,0)</f>
        <v>631.90066453543795</v>
      </c>
      <c r="D204" s="4">
        <f t="shared" si="7"/>
        <v>1607.9049158470175</v>
      </c>
      <c r="E204" s="3">
        <f t="shared" si="6"/>
        <v>201232.20840002882</v>
      </c>
    </row>
    <row r="205" spans="1:5" x14ac:dyDescent="0.25">
      <c r="A205">
        <v>202</v>
      </c>
      <c r="B205" s="4">
        <f>-PPMT('With Loan'!$D$41/12,'30% Down Amortization'!$A205,360,'With Loan'!$D$40,0,0)</f>
        <v>979.05426459692819</v>
      </c>
      <c r="C205" s="4">
        <f>-IPMT('With Loan'!$D$41/12,'30% Down Amortization'!$A205,360,'With Loan'!$D$40,0,0)</f>
        <v>628.85065125008907</v>
      </c>
      <c r="D205" s="4">
        <f t="shared" si="7"/>
        <v>1607.9049158470173</v>
      </c>
      <c r="E205" s="3">
        <f t="shared" si="6"/>
        <v>200253.15413543189</v>
      </c>
    </row>
    <row r="206" spans="1:5" x14ac:dyDescent="0.25">
      <c r="A206">
        <v>203</v>
      </c>
      <c r="B206" s="4">
        <f>-PPMT('With Loan'!$D$41/12,'30% Down Amortization'!$A206,360,'With Loan'!$D$40,0,0)</f>
        <v>982.1138091737937</v>
      </c>
      <c r="C206" s="4">
        <f>-IPMT('With Loan'!$D$41/12,'30% Down Amortization'!$A206,360,'With Loan'!$D$40,0,0)</f>
        <v>625.79110667322379</v>
      </c>
      <c r="D206" s="4">
        <f t="shared" si="7"/>
        <v>1607.9049158470175</v>
      </c>
      <c r="E206" s="3">
        <f t="shared" si="6"/>
        <v>199271.04032625811</v>
      </c>
    </row>
    <row r="207" spans="1:5" x14ac:dyDescent="0.25">
      <c r="A207">
        <v>204</v>
      </c>
      <c r="B207" s="4">
        <f>-PPMT('With Loan'!$D$41/12,'30% Down Amortization'!$A207,360,'With Loan'!$D$40,0,0)</f>
        <v>985.18291482746179</v>
      </c>
      <c r="C207" s="4">
        <f>-IPMT('With Loan'!$D$41/12,'30% Down Amortization'!$A207,360,'With Loan'!$D$40,0,0)</f>
        <v>622.72200101955571</v>
      </c>
      <c r="D207" s="4">
        <f t="shared" si="7"/>
        <v>1607.9049158470175</v>
      </c>
      <c r="E207" s="3">
        <f t="shared" si="6"/>
        <v>198285.85741143065</v>
      </c>
    </row>
    <row r="208" spans="1:5" x14ac:dyDescent="0.25">
      <c r="A208">
        <v>205</v>
      </c>
      <c r="B208" s="4">
        <f>-PPMT('With Loan'!$D$41/12,'30% Down Amortization'!$A208,360,'With Loan'!$D$40,0,0)</f>
        <v>988.26161143629747</v>
      </c>
      <c r="C208" s="4">
        <f>-IPMT('With Loan'!$D$41/12,'30% Down Amortization'!$A208,360,'With Loan'!$D$40,0,0)</f>
        <v>619.64330441071979</v>
      </c>
      <c r="D208" s="4">
        <f t="shared" si="7"/>
        <v>1607.9049158470173</v>
      </c>
      <c r="E208" s="3">
        <f t="shared" si="6"/>
        <v>197297.59579999436</v>
      </c>
    </row>
    <row r="209" spans="1:5" x14ac:dyDescent="0.25">
      <c r="A209">
        <v>206</v>
      </c>
      <c r="B209" s="4">
        <f>-PPMT('With Loan'!$D$41/12,'30% Down Amortization'!$A209,360,'With Loan'!$D$40,0,0)</f>
        <v>991.3499289720362</v>
      </c>
      <c r="C209" s="4">
        <f>-IPMT('With Loan'!$D$41/12,'30% Down Amortization'!$A209,360,'With Loan'!$D$40,0,0)</f>
        <v>616.55498687498152</v>
      </c>
      <c r="D209" s="4">
        <f t="shared" si="7"/>
        <v>1607.9049158470177</v>
      </c>
      <c r="E209" s="3">
        <f t="shared" si="6"/>
        <v>196306.24587102231</v>
      </c>
    </row>
    <row r="210" spans="1:5" x14ac:dyDescent="0.25">
      <c r="A210">
        <v>207</v>
      </c>
      <c r="B210" s="4">
        <f>-PPMT('With Loan'!$D$41/12,'30% Down Amortization'!$A210,360,'With Loan'!$D$40,0,0)</f>
        <v>994.44789750007374</v>
      </c>
      <c r="C210" s="4">
        <f>-IPMT('With Loan'!$D$41/12,'30% Down Amortization'!$A210,360,'With Loan'!$D$40,0,0)</f>
        <v>613.45701834694387</v>
      </c>
      <c r="D210" s="4">
        <f t="shared" si="7"/>
        <v>1607.9049158470175</v>
      </c>
      <c r="E210" s="3">
        <f t="shared" si="6"/>
        <v>195311.79797352225</v>
      </c>
    </row>
    <row r="211" spans="1:5" x14ac:dyDescent="0.25">
      <c r="A211">
        <v>208</v>
      </c>
      <c r="B211" s="4">
        <f>-PPMT('With Loan'!$D$41/12,'30% Down Amortization'!$A211,360,'With Loan'!$D$40,0,0)</f>
        <v>997.55554717976145</v>
      </c>
      <c r="C211" s="4">
        <f>-IPMT('With Loan'!$D$41/12,'30% Down Amortization'!$A211,360,'With Loan'!$D$40,0,0)</f>
        <v>610.34936866725627</v>
      </c>
      <c r="D211" s="4">
        <f t="shared" si="7"/>
        <v>1607.9049158470177</v>
      </c>
      <c r="E211" s="3">
        <f t="shared" si="6"/>
        <v>194314.24242634248</v>
      </c>
    </row>
    <row r="212" spans="1:5" x14ac:dyDescent="0.25">
      <c r="A212">
        <v>209</v>
      </c>
      <c r="B212" s="4">
        <f>-PPMT('With Loan'!$D$41/12,'30% Down Amortization'!$A212,360,'With Loan'!$D$40,0,0)</f>
        <v>1000.6729082646982</v>
      </c>
      <c r="C212" s="4">
        <f>-IPMT('With Loan'!$D$41/12,'30% Down Amortization'!$A212,360,'With Loan'!$D$40,0,0)</f>
        <v>607.2320075823194</v>
      </c>
      <c r="D212" s="4">
        <f t="shared" si="7"/>
        <v>1607.9049158470175</v>
      </c>
      <c r="E212" s="3">
        <f t="shared" si="6"/>
        <v>193313.56951807777</v>
      </c>
    </row>
    <row r="213" spans="1:5" x14ac:dyDescent="0.25">
      <c r="A213">
        <v>210</v>
      </c>
      <c r="B213" s="4">
        <f>-PPMT('With Loan'!$D$41/12,'30% Down Amortization'!$A213,360,'With Loan'!$D$40,0,0)</f>
        <v>1003.8000111030252</v>
      </c>
      <c r="C213" s="4">
        <f>-IPMT('With Loan'!$D$41/12,'30% Down Amortization'!$A213,360,'With Loan'!$D$40,0,0)</f>
        <v>604.10490474399205</v>
      </c>
      <c r="D213" s="4">
        <f t="shared" si="7"/>
        <v>1607.9049158470173</v>
      </c>
      <c r="E213" s="3">
        <f t="shared" si="6"/>
        <v>192309.76950697476</v>
      </c>
    </row>
    <row r="214" spans="1:5" x14ac:dyDescent="0.25">
      <c r="A214">
        <v>211</v>
      </c>
      <c r="B214" s="4">
        <f>-PPMT('With Loan'!$D$41/12,'30% Down Amortization'!$A214,360,'With Loan'!$D$40,0,0)</f>
        <v>1006.9368861377222</v>
      </c>
      <c r="C214" s="4">
        <f>-IPMT('With Loan'!$D$41/12,'30% Down Amortization'!$A214,360,'With Loan'!$D$40,0,0)</f>
        <v>600.96802970929525</v>
      </c>
      <c r="D214" s="4">
        <f t="shared" si="7"/>
        <v>1607.9049158470175</v>
      </c>
      <c r="E214" s="3">
        <f t="shared" si="6"/>
        <v>191302.83262083703</v>
      </c>
    </row>
    <row r="215" spans="1:5" x14ac:dyDescent="0.25">
      <c r="A215">
        <v>212</v>
      </c>
      <c r="B215" s="4">
        <f>-PPMT('With Loan'!$D$41/12,'30% Down Amortization'!$A215,360,'With Loan'!$D$40,0,0)</f>
        <v>1010.0835639069027</v>
      </c>
      <c r="C215" s="4">
        <f>-IPMT('With Loan'!$D$41/12,'30% Down Amortization'!$A215,360,'With Loan'!$D$40,0,0)</f>
        <v>597.82135194011471</v>
      </c>
      <c r="D215" s="4">
        <f t="shared" si="7"/>
        <v>1607.9049158470175</v>
      </c>
      <c r="E215" s="3">
        <f t="shared" si="6"/>
        <v>190292.74905693013</v>
      </c>
    </row>
    <row r="216" spans="1:5" x14ac:dyDescent="0.25">
      <c r="A216">
        <v>213</v>
      </c>
      <c r="B216" s="4">
        <f>-PPMT('With Loan'!$D$41/12,'30% Down Amortization'!$A216,360,'With Loan'!$D$40,0,0)</f>
        <v>1013.2400750441118</v>
      </c>
      <c r="C216" s="4">
        <f>-IPMT('With Loan'!$D$41/12,'30% Down Amortization'!$A216,360,'With Loan'!$D$40,0,0)</f>
        <v>594.66484080290581</v>
      </c>
      <c r="D216" s="4">
        <f t="shared" si="7"/>
        <v>1607.9049158470175</v>
      </c>
      <c r="E216" s="3">
        <f t="shared" si="6"/>
        <v>189279.50898188603</v>
      </c>
    </row>
    <row r="217" spans="1:5" x14ac:dyDescent="0.25">
      <c r="A217">
        <v>214</v>
      </c>
      <c r="B217" s="4">
        <f>-PPMT('With Loan'!$D$41/12,'30% Down Amortization'!$A217,360,'With Loan'!$D$40,0,0)</f>
        <v>1016.4064502786246</v>
      </c>
      <c r="C217" s="4">
        <f>-IPMT('With Loan'!$D$41/12,'30% Down Amortization'!$A217,360,'With Loan'!$D$40,0,0)</f>
        <v>591.49846556839293</v>
      </c>
      <c r="D217" s="4">
        <f t="shared" si="7"/>
        <v>1607.9049158470175</v>
      </c>
      <c r="E217" s="3">
        <f t="shared" si="6"/>
        <v>188263.10253160741</v>
      </c>
    </row>
    <row r="218" spans="1:5" x14ac:dyDescent="0.25">
      <c r="A218">
        <v>215</v>
      </c>
      <c r="B218" s="4">
        <f>-PPMT('With Loan'!$D$41/12,'30% Down Amortization'!$A218,360,'With Loan'!$D$40,0,0)</f>
        <v>1019.5827204357454</v>
      </c>
      <c r="C218" s="4">
        <f>-IPMT('With Loan'!$D$41/12,'30% Down Amortization'!$A218,360,'With Loan'!$D$40,0,0)</f>
        <v>588.32219541127211</v>
      </c>
      <c r="D218" s="4">
        <f t="shared" si="7"/>
        <v>1607.9049158470175</v>
      </c>
      <c r="E218" s="3">
        <f t="shared" si="6"/>
        <v>187243.51981117166</v>
      </c>
    </row>
    <row r="219" spans="1:5" x14ac:dyDescent="0.25">
      <c r="A219">
        <v>216</v>
      </c>
      <c r="B219" s="4">
        <f>-PPMT('With Loan'!$D$41/12,'30% Down Amortization'!$A219,360,'With Loan'!$D$40,0,0)</f>
        <v>1022.7689164371069</v>
      </c>
      <c r="C219" s="4">
        <f>-IPMT('With Loan'!$D$41/12,'30% Down Amortization'!$A219,360,'With Loan'!$D$40,0,0)</f>
        <v>585.13599940991048</v>
      </c>
      <c r="D219" s="4">
        <f t="shared" si="7"/>
        <v>1607.9049158470175</v>
      </c>
      <c r="E219" s="3">
        <f t="shared" si="6"/>
        <v>186220.75089473455</v>
      </c>
    </row>
    <row r="220" spans="1:5" x14ac:dyDescent="0.25">
      <c r="A220">
        <v>217</v>
      </c>
      <c r="B220" s="4">
        <f>-PPMT('With Loan'!$D$41/12,'30% Down Amortization'!$A220,360,'With Loan'!$D$40,0,0)</f>
        <v>1025.965069300973</v>
      </c>
      <c r="C220" s="4">
        <f>-IPMT('With Loan'!$D$41/12,'30% Down Amortization'!$A220,360,'With Loan'!$D$40,0,0)</f>
        <v>581.93984654604458</v>
      </c>
      <c r="D220" s="4">
        <f t="shared" si="7"/>
        <v>1607.9049158470175</v>
      </c>
      <c r="E220" s="3">
        <f t="shared" si="6"/>
        <v>185194.78582543359</v>
      </c>
    </row>
    <row r="221" spans="1:5" x14ac:dyDescent="0.25">
      <c r="A221">
        <v>218</v>
      </c>
      <c r="B221" s="4">
        <f>-PPMT('With Loan'!$D$41/12,'30% Down Amortization'!$A221,360,'With Loan'!$D$40,0,0)</f>
        <v>1029.1712101425383</v>
      </c>
      <c r="C221" s="4">
        <f>-IPMT('With Loan'!$D$41/12,'30% Down Amortization'!$A221,360,'With Loan'!$D$40,0,0)</f>
        <v>578.73370570447901</v>
      </c>
      <c r="D221" s="4">
        <f t="shared" si="7"/>
        <v>1607.9049158470173</v>
      </c>
      <c r="E221" s="3">
        <f t="shared" si="6"/>
        <v>184165.61461529104</v>
      </c>
    </row>
    <row r="222" spans="1:5" x14ac:dyDescent="0.25">
      <c r="A222">
        <v>219</v>
      </c>
      <c r="B222" s="4">
        <f>-PPMT('With Loan'!$D$41/12,'30% Down Amortization'!$A222,360,'With Loan'!$D$40,0,0)</f>
        <v>1032.3873701742339</v>
      </c>
      <c r="C222" s="4">
        <f>-IPMT('With Loan'!$D$41/12,'30% Down Amortization'!$A222,360,'With Loan'!$D$40,0,0)</f>
        <v>575.51754567278351</v>
      </c>
      <c r="D222" s="4">
        <f t="shared" si="7"/>
        <v>1607.9049158470175</v>
      </c>
      <c r="E222" s="3">
        <f t="shared" si="6"/>
        <v>183133.22724511681</v>
      </c>
    </row>
    <row r="223" spans="1:5" x14ac:dyDescent="0.25">
      <c r="A223">
        <v>220</v>
      </c>
      <c r="B223" s="4">
        <f>-PPMT('With Loan'!$D$41/12,'30% Down Amortization'!$A223,360,'With Loan'!$D$40,0,0)</f>
        <v>1035.6135807060282</v>
      </c>
      <c r="C223" s="4">
        <f>-IPMT('With Loan'!$D$41/12,'30% Down Amortization'!$A223,360,'With Loan'!$D$40,0,0)</f>
        <v>572.29133514098908</v>
      </c>
      <c r="D223" s="4">
        <f t="shared" si="7"/>
        <v>1607.9049158470173</v>
      </c>
      <c r="E223" s="3">
        <f t="shared" si="6"/>
        <v>182097.61366441078</v>
      </c>
    </row>
    <row r="224" spans="1:5" x14ac:dyDescent="0.25">
      <c r="A224">
        <v>221</v>
      </c>
      <c r="B224" s="4">
        <f>-PPMT('With Loan'!$D$41/12,'30% Down Amortization'!$A224,360,'With Loan'!$D$40,0,0)</f>
        <v>1038.8498731457348</v>
      </c>
      <c r="C224" s="4">
        <f>-IPMT('With Loan'!$D$41/12,'30% Down Amortization'!$A224,360,'With Loan'!$D$40,0,0)</f>
        <v>569.05504270128267</v>
      </c>
      <c r="D224" s="4">
        <f t="shared" si="7"/>
        <v>1607.9049158470175</v>
      </c>
      <c r="E224" s="3">
        <f t="shared" si="6"/>
        <v>181058.76379126505</v>
      </c>
    </row>
    <row r="225" spans="1:5" x14ac:dyDescent="0.25">
      <c r="A225">
        <v>222</v>
      </c>
      <c r="B225" s="4">
        <f>-PPMT('With Loan'!$D$41/12,'30% Down Amortization'!$A225,360,'With Loan'!$D$40,0,0)</f>
        <v>1042.0962789993152</v>
      </c>
      <c r="C225" s="4">
        <f>-IPMT('With Loan'!$D$41/12,'30% Down Amortization'!$A225,360,'With Loan'!$D$40,0,0)</f>
        <v>565.80863684770213</v>
      </c>
      <c r="D225" s="4">
        <f t="shared" si="7"/>
        <v>1607.9049158470175</v>
      </c>
      <c r="E225" s="3">
        <f t="shared" si="6"/>
        <v>180016.66751226573</v>
      </c>
    </row>
    <row r="226" spans="1:5" x14ac:dyDescent="0.25">
      <c r="A226">
        <v>223</v>
      </c>
      <c r="B226" s="4">
        <f>-PPMT('With Loan'!$D$41/12,'30% Down Amortization'!$A226,360,'With Loan'!$D$40,0,0)</f>
        <v>1045.3528298711881</v>
      </c>
      <c r="C226" s="4">
        <f>-IPMT('With Loan'!$D$41/12,'30% Down Amortization'!$A226,360,'With Loan'!$D$40,0,0)</f>
        <v>562.55208597582941</v>
      </c>
      <c r="D226" s="4">
        <f t="shared" si="7"/>
        <v>1607.9049158470175</v>
      </c>
      <c r="E226" s="3">
        <f t="shared" ref="E226:E289" si="8">E225-B226</f>
        <v>178971.31468239456</v>
      </c>
    </row>
    <row r="227" spans="1:5" x14ac:dyDescent="0.25">
      <c r="A227">
        <v>224</v>
      </c>
      <c r="B227" s="4">
        <f>-PPMT('With Loan'!$D$41/12,'30% Down Amortization'!$A227,360,'With Loan'!$D$40,0,0)</f>
        <v>1048.6195574645353</v>
      </c>
      <c r="C227" s="4">
        <f>-IPMT('With Loan'!$D$41/12,'30% Down Amortization'!$A227,360,'With Loan'!$D$40,0,0)</f>
        <v>559.28535838248195</v>
      </c>
      <c r="D227" s="4">
        <f t="shared" si="7"/>
        <v>1607.9049158470173</v>
      </c>
      <c r="E227" s="3">
        <f t="shared" si="8"/>
        <v>177922.69512493003</v>
      </c>
    </row>
    <row r="228" spans="1:5" x14ac:dyDescent="0.25">
      <c r="A228">
        <v>225</v>
      </c>
      <c r="B228" s="4">
        <f>-PPMT('With Loan'!$D$41/12,'30% Down Amortization'!$A228,360,'With Loan'!$D$40,0,0)</f>
        <v>1051.896493581612</v>
      </c>
      <c r="C228" s="4">
        <f>-IPMT('With Loan'!$D$41/12,'30% Down Amortization'!$A228,360,'With Loan'!$D$40,0,0)</f>
        <v>556.00842226540533</v>
      </c>
      <c r="D228" s="4">
        <f t="shared" si="7"/>
        <v>1607.9049158470175</v>
      </c>
      <c r="E228" s="3">
        <f t="shared" si="8"/>
        <v>176870.79863134841</v>
      </c>
    </row>
    <row r="229" spans="1:5" x14ac:dyDescent="0.25">
      <c r="A229">
        <v>226</v>
      </c>
      <c r="B229" s="4">
        <f>-PPMT('With Loan'!$D$41/12,'30% Down Amortization'!$A229,360,'With Loan'!$D$40,0,0)</f>
        <v>1055.1836701240545</v>
      </c>
      <c r="C229" s="4">
        <f>-IPMT('With Loan'!$D$41/12,'30% Down Amortization'!$A229,360,'With Loan'!$D$40,0,0)</f>
        <v>552.72124572296275</v>
      </c>
      <c r="D229" s="4">
        <f t="shared" si="7"/>
        <v>1607.9049158470173</v>
      </c>
      <c r="E229" s="3">
        <f t="shared" si="8"/>
        <v>175815.61496122435</v>
      </c>
    </row>
    <row r="230" spans="1:5" x14ac:dyDescent="0.25">
      <c r="A230">
        <v>227</v>
      </c>
      <c r="B230" s="4">
        <f>-PPMT('With Loan'!$D$41/12,'30% Down Amortization'!$A230,360,'With Loan'!$D$40,0,0)</f>
        <v>1058.4811190931923</v>
      </c>
      <c r="C230" s="4">
        <f>-IPMT('With Loan'!$D$41/12,'30% Down Amortization'!$A230,360,'With Loan'!$D$40,0,0)</f>
        <v>549.42379675382506</v>
      </c>
      <c r="D230" s="4">
        <f t="shared" si="7"/>
        <v>1607.9049158470175</v>
      </c>
      <c r="E230" s="3">
        <f t="shared" si="8"/>
        <v>174757.13384213115</v>
      </c>
    </row>
    <row r="231" spans="1:5" x14ac:dyDescent="0.25">
      <c r="A231">
        <v>228</v>
      </c>
      <c r="B231" s="4">
        <f>-PPMT('With Loan'!$D$41/12,'30% Down Amortization'!$A231,360,'With Loan'!$D$40,0,0)</f>
        <v>1061.7888725903586</v>
      </c>
      <c r="C231" s="4">
        <f>-IPMT('With Loan'!$D$41/12,'30% Down Amortization'!$A231,360,'With Loan'!$D$40,0,0)</f>
        <v>546.11604325665894</v>
      </c>
      <c r="D231" s="4">
        <f t="shared" si="7"/>
        <v>1607.9049158470175</v>
      </c>
      <c r="E231" s="3">
        <f t="shared" si="8"/>
        <v>173695.34496954081</v>
      </c>
    </row>
    <row r="232" spans="1:5" x14ac:dyDescent="0.25">
      <c r="A232">
        <v>229</v>
      </c>
      <c r="B232" s="4">
        <f>-PPMT('With Loan'!$D$41/12,'30% Down Amortization'!$A232,360,'With Loan'!$D$40,0,0)</f>
        <v>1065.1069628172033</v>
      </c>
      <c r="C232" s="4">
        <f>-IPMT('With Loan'!$D$41/12,'30% Down Amortization'!$A232,360,'With Loan'!$D$40,0,0)</f>
        <v>542.79795302981393</v>
      </c>
      <c r="D232" s="4">
        <f t="shared" si="7"/>
        <v>1607.9049158470173</v>
      </c>
      <c r="E232" s="3">
        <f t="shared" si="8"/>
        <v>172630.23800672361</v>
      </c>
    </row>
    <row r="233" spans="1:5" x14ac:dyDescent="0.25">
      <c r="A233">
        <v>230</v>
      </c>
      <c r="B233" s="4">
        <f>-PPMT('With Loan'!$D$41/12,'30% Down Amortization'!$A233,360,'With Loan'!$D$40,0,0)</f>
        <v>1068.4354220760072</v>
      </c>
      <c r="C233" s="4">
        <f>-IPMT('With Loan'!$D$41/12,'30% Down Amortization'!$A233,360,'With Loan'!$D$40,0,0)</f>
        <v>539.46949377101032</v>
      </c>
      <c r="D233" s="4">
        <f t="shared" si="7"/>
        <v>1607.9049158470175</v>
      </c>
      <c r="E233" s="3">
        <f t="shared" si="8"/>
        <v>171561.80258464761</v>
      </c>
    </row>
    <row r="234" spans="1:5" x14ac:dyDescent="0.25">
      <c r="A234">
        <v>231</v>
      </c>
      <c r="B234" s="4">
        <f>-PPMT('With Loan'!$D$41/12,'30% Down Amortization'!$A234,360,'With Loan'!$D$40,0,0)</f>
        <v>1071.7742827699947</v>
      </c>
      <c r="C234" s="4">
        <f>-IPMT('With Loan'!$D$41/12,'30% Down Amortization'!$A234,360,'With Loan'!$D$40,0,0)</f>
        <v>536.13063307702282</v>
      </c>
      <c r="D234" s="4">
        <f t="shared" si="7"/>
        <v>1607.9049158470175</v>
      </c>
      <c r="E234" s="3">
        <f t="shared" si="8"/>
        <v>170490.02830187761</v>
      </c>
    </row>
    <row r="235" spans="1:5" x14ac:dyDescent="0.25">
      <c r="A235">
        <v>232</v>
      </c>
      <c r="B235" s="4">
        <f>-PPMT('With Loan'!$D$41/12,'30% Down Amortization'!$A235,360,'With Loan'!$D$40,0,0)</f>
        <v>1075.1235774036511</v>
      </c>
      <c r="C235" s="4">
        <f>-IPMT('With Loan'!$D$41/12,'30% Down Amortization'!$A235,360,'With Loan'!$D$40,0,0)</f>
        <v>532.78133844336651</v>
      </c>
      <c r="D235" s="4">
        <f t="shared" si="7"/>
        <v>1607.9049158470175</v>
      </c>
      <c r="E235" s="3">
        <f t="shared" si="8"/>
        <v>169414.90472447395</v>
      </c>
    </row>
    <row r="236" spans="1:5" x14ac:dyDescent="0.25">
      <c r="A236">
        <v>233</v>
      </c>
      <c r="B236" s="4">
        <f>-PPMT('With Loan'!$D$41/12,'30% Down Amortization'!$A236,360,'With Loan'!$D$40,0,0)</f>
        <v>1078.4833385830373</v>
      </c>
      <c r="C236" s="4">
        <f>-IPMT('With Loan'!$D$41/12,'30% Down Amortization'!$A236,360,'With Loan'!$D$40,0,0)</f>
        <v>529.42157726398</v>
      </c>
      <c r="D236" s="4">
        <f t="shared" si="7"/>
        <v>1607.9049158470173</v>
      </c>
      <c r="E236" s="3">
        <f t="shared" si="8"/>
        <v>168336.42138589092</v>
      </c>
    </row>
    <row r="237" spans="1:5" x14ac:dyDescent="0.25">
      <c r="A237">
        <v>234</v>
      </c>
      <c r="B237" s="4">
        <f>-PPMT('With Loan'!$D$41/12,'30% Down Amortization'!$A237,360,'With Loan'!$D$40,0,0)</f>
        <v>1081.8535990161095</v>
      </c>
      <c r="C237" s="4">
        <f>-IPMT('With Loan'!$D$41/12,'30% Down Amortization'!$A237,360,'With Loan'!$D$40,0,0)</f>
        <v>526.05131683090815</v>
      </c>
      <c r="D237" s="4">
        <f t="shared" si="7"/>
        <v>1607.9049158470175</v>
      </c>
      <c r="E237" s="3">
        <f t="shared" si="8"/>
        <v>167254.5677868748</v>
      </c>
    </row>
    <row r="238" spans="1:5" x14ac:dyDescent="0.25">
      <c r="A238">
        <v>235</v>
      </c>
      <c r="B238" s="4">
        <f>-PPMT('With Loan'!$D$41/12,'30% Down Amortization'!$A238,360,'With Loan'!$D$40,0,0)</f>
        <v>1085.2343915130348</v>
      </c>
      <c r="C238" s="4">
        <f>-IPMT('With Loan'!$D$41/12,'30% Down Amortization'!$A238,360,'With Loan'!$D$40,0,0)</f>
        <v>522.67052433398271</v>
      </c>
      <c r="D238" s="4">
        <f t="shared" si="7"/>
        <v>1607.9049158470175</v>
      </c>
      <c r="E238" s="3">
        <f t="shared" si="8"/>
        <v>166169.33339536175</v>
      </c>
    </row>
    <row r="239" spans="1:5" x14ac:dyDescent="0.25">
      <c r="A239">
        <v>236</v>
      </c>
      <c r="B239" s="4">
        <f>-PPMT('With Loan'!$D$41/12,'30% Down Amortization'!$A239,360,'With Loan'!$D$40,0,0)</f>
        <v>1088.6257489865129</v>
      </c>
      <c r="C239" s="4">
        <f>-IPMT('With Loan'!$D$41/12,'30% Down Amortization'!$A239,360,'With Loan'!$D$40,0,0)</f>
        <v>519.27916686050457</v>
      </c>
      <c r="D239" s="4">
        <f t="shared" si="7"/>
        <v>1607.9049158470175</v>
      </c>
      <c r="E239" s="3">
        <f t="shared" si="8"/>
        <v>165080.70764637523</v>
      </c>
    </row>
    <row r="240" spans="1:5" x14ac:dyDescent="0.25">
      <c r="A240">
        <v>237</v>
      </c>
      <c r="B240" s="4">
        <f>-PPMT('With Loan'!$D$41/12,'30% Down Amortization'!$A240,360,'With Loan'!$D$40,0,0)</f>
        <v>1092.0277044520958</v>
      </c>
      <c r="C240" s="4">
        <f>-IPMT('With Loan'!$D$41/12,'30% Down Amortization'!$A240,360,'With Loan'!$D$40,0,0)</f>
        <v>515.87721139492169</v>
      </c>
      <c r="D240" s="4">
        <f t="shared" si="7"/>
        <v>1607.9049158470175</v>
      </c>
      <c r="E240" s="3">
        <f t="shared" si="8"/>
        <v>163988.67994192312</v>
      </c>
    </row>
    <row r="241" spans="1:5" x14ac:dyDescent="0.25">
      <c r="A241">
        <v>238</v>
      </c>
      <c r="B241" s="4">
        <f>-PPMT('With Loan'!$D$41/12,'30% Down Amortization'!$A241,360,'With Loan'!$D$40,0,0)</f>
        <v>1095.4402910285087</v>
      </c>
      <c r="C241" s="4">
        <f>-IPMT('With Loan'!$D$41/12,'30% Down Amortization'!$A241,360,'With Loan'!$D$40,0,0)</f>
        <v>512.46462481850881</v>
      </c>
      <c r="D241" s="4">
        <f t="shared" si="7"/>
        <v>1607.9049158470175</v>
      </c>
      <c r="E241" s="3">
        <f t="shared" si="8"/>
        <v>162893.23965089463</v>
      </c>
    </row>
    <row r="242" spans="1:5" x14ac:dyDescent="0.25">
      <c r="A242">
        <v>239</v>
      </c>
      <c r="B242" s="4">
        <f>-PPMT('With Loan'!$D$41/12,'30% Down Amortization'!$A242,360,'With Loan'!$D$40,0,0)</f>
        <v>1098.8635419379725</v>
      </c>
      <c r="C242" s="4">
        <f>-IPMT('With Loan'!$D$41/12,'30% Down Amortization'!$A242,360,'With Loan'!$D$40,0,0)</f>
        <v>509.04137390904475</v>
      </c>
      <c r="D242" s="4">
        <f t="shared" si="7"/>
        <v>1607.9049158470173</v>
      </c>
      <c r="E242" s="3">
        <f t="shared" si="8"/>
        <v>161794.37610895664</v>
      </c>
    </row>
    <row r="243" spans="1:5" x14ac:dyDescent="0.25">
      <c r="A243">
        <v>240</v>
      </c>
      <c r="B243" s="4">
        <f>-PPMT('With Loan'!$D$41/12,'30% Down Amortization'!$A243,360,'With Loan'!$D$40,0,0)</f>
        <v>1102.2974905065289</v>
      </c>
      <c r="C243" s="4">
        <f>-IPMT('With Loan'!$D$41/12,'30% Down Amortization'!$A243,360,'With Loan'!$D$40,0,0)</f>
        <v>505.60742534048865</v>
      </c>
      <c r="D243" s="4">
        <f t="shared" si="7"/>
        <v>1607.9049158470175</v>
      </c>
      <c r="E243" s="3">
        <f t="shared" si="8"/>
        <v>160692.07861845012</v>
      </c>
    </row>
    <row r="244" spans="1:5" x14ac:dyDescent="0.25">
      <c r="A244">
        <v>241</v>
      </c>
      <c r="B244" s="4">
        <f>-PPMT('With Loan'!$D$41/12,'30% Down Amortization'!$A244,360,'With Loan'!$D$40,0,0)</f>
        <v>1105.7421701643616</v>
      </c>
      <c r="C244" s="4">
        <f>-IPMT('With Loan'!$D$41/12,'30% Down Amortization'!$A244,360,'With Loan'!$D$40,0,0)</f>
        <v>502.16274568265578</v>
      </c>
      <c r="D244" s="4">
        <f t="shared" si="7"/>
        <v>1607.9049158470175</v>
      </c>
      <c r="E244" s="3">
        <f t="shared" si="8"/>
        <v>159586.33644828576</v>
      </c>
    </row>
    <row r="245" spans="1:5" x14ac:dyDescent="0.25">
      <c r="A245">
        <v>242</v>
      </c>
      <c r="B245" s="4">
        <f>-PPMT('With Loan'!$D$41/12,'30% Down Amortization'!$A245,360,'With Loan'!$D$40,0,0)</f>
        <v>1109.1976144461253</v>
      </c>
      <c r="C245" s="4">
        <f>-IPMT('With Loan'!$D$41/12,'30% Down Amortization'!$A245,360,'With Loan'!$D$40,0,0)</f>
        <v>498.70730140089205</v>
      </c>
      <c r="D245" s="4">
        <f t="shared" si="7"/>
        <v>1607.9049158470173</v>
      </c>
      <c r="E245" s="3">
        <f t="shared" si="8"/>
        <v>158477.13883383962</v>
      </c>
    </row>
    <row r="246" spans="1:5" x14ac:dyDescent="0.25">
      <c r="A246">
        <v>243</v>
      </c>
      <c r="B246" s="4">
        <f>-PPMT('With Loan'!$D$41/12,'30% Down Amortization'!$A246,360,'With Loan'!$D$40,0,0)</f>
        <v>1112.6638569912695</v>
      </c>
      <c r="C246" s="4">
        <f>-IPMT('With Loan'!$D$41/12,'30% Down Amortization'!$A246,360,'With Loan'!$D$40,0,0)</f>
        <v>495.24105885574795</v>
      </c>
      <c r="D246" s="4">
        <f t="shared" si="7"/>
        <v>1607.9049158470175</v>
      </c>
      <c r="E246" s="3">
        <f t="shared" si="8"/>
        <v>157364.47497684835</v>
      </c>
    </row>
    <row r="247" spans="1:5" x14ac:dyDescent="0.25">
      <c r="A247">
        <v>244</v>
      </c>
      <c r="B247" s="4">
        <f>-PPMT('With Loan'!$D$41/12,'30% Down Amortization'!$A247,360,'With Loan'!$D$40,0,0)</f>
        <v>1116.140931544367</v>
      </c>
      <c r="C247" s="4">
        <f>-IPMT('With Loan'!$D$41/12,'30% Down Amortization'!$A247,360,'With Loan'!$D$40,0,0)</f>
        <v>491.76398430265021</v>
      </c>
      <c r="D247" s="4">
        <f t="shared" si="7"/>
        <v>1607.9049158470173</v>
      </c>
      <c r="E247" s="3">
        <f t="shared" si="8"/>
        <v>156248.33404530399</v>
      </c>
    </row>
    <row r="248" spans="1:5" x14ac:dyDescent="0.25">
      <c r="A248">
        <v>245</v>
      </c>
      <c r="B248" s="4">
        <f>-PPMT('With Loan'!$D$41/12,'30% Down Amortization'!$A248,360,'With Loan'!$D$40,0,0)</f>
        <v>1119.6288719554432</v>
      </c>
      <c r="C248" s="4">
        <f>-IPMT('With Loan'!$D$41/12,'30% Down Amortization'!$A248,360,'With Loan'!$D$40,0,0)</f>
        <v>488.27604389157409</v>
      </c>
      <c r="D248" s="4">
        <f t="shared" si="7"/>
        <v>1607.9049158470173</v>
      </c>
      <c r="E248" s="3">
        <f t="shared" si="8"/>
        <v>155128.70517334854</v>
      </c>
    </row>
    <row r="249" spans="1:5" x14ac:dyDescent="0.25">
      <c r="A249">
        <v>246</v>
      </c>
      <c r="B249" s="4">
        <f>-PPMT('With Loan'!$D$41/12,'30% Down Amortization'!$A249,360,'With Loan'!$D$40,0,0)</f>
        <v>1123.1277121803041</v>
      </c>
      <c r="C249" s="4">
        <f>-IPMT('With Loan'!$D$41/12,'30% Down Amortization'!$A249,360,'With Loan'!$D$40,0,0)</f>
        <v>484.77720366671332</v>
      </c>
      <c r="D249" s="4">
        <f t="shared" si="7"/>
        <v>1607.9049158470175</v>
      </c>
      <c r="E249" s="3">
        <f t="shared" si="8"/>
        <v>154005.57746116823</v>
      </c>
    </row>
    <row r="250" spans="1:5" x14ac:dyDescent="0.25">
      <c r="A250">
        <v>247</v>
      </c>
      <c r="B250" s="4">
        <f>-PPMT('With Loan'!$D$41/12,'30% Down Amortization'!$A250,360,'With Loan'!$D$40,0,0)</f>
        <v>1126.6374862808675</v>
      </c>
      <c r="C250" s="4">
        <f>-IPMT('With Loan'!$D$41/12,'30% Down Amortization'!$A250,360,'With Loan'!$D$40,0,0)</f>
        <v>481.26742956614987</v>
      </c>
      <c r="D250" s="4">
        <f t="shared" si="7"/>
        <v>1607.9049158470175</v>
      </c>
      <c r="E250" s="3">
        <f t="shared" si="8"/>
        <v>152878.93997488735</v>
      </c>
    </row>
    <row r="251" spans="1:5" x14ac:dyDescent="0.25">
      <c r="A251">
        <v>248</v>
      </c>
      <c r="B251" s="4">
        <f>-PPMT('With Loan'!$D$41/12,'30% Down Amortization'!$A251,360,'With Loan'!$D$40,0,0)</f>
        <v>1130.1582284254955</v>
      </c>
      <c r="C251" s="4">
        <f>-IPMT('With Loan'!$D$41/12,'30% Down Amortization'!$A251,360,'With Loan'!$D$40,0,0)</f>
        <v>477.7466874215221</v>
      </c>
      <c r="D251" s="4">
        <f t="shared" si="7"/>
        <v>1607.9049158470175</v>
      </c>
      <c r="E251" s="3">
        <f t="shared" si="8"/>
        <v>151748.78174646187</v>
      </c>
    </row>
    <row r="252" spans="1:5" x14ac:dyDescent="0.25">
      <c r="A252">
        <v>249</v>
      </c>
      <c r="B252" s="4">
        <f>-PPMT('With Loan'!$D$41/12,'30% Down Amortization'!$A252,360,'With Loan'!$D$40,0,0)</f>
        <v>1133.689972889325</v>
      </c>
      <c r="C252" s="4">
        <f>-IPMT('With Loan'!$D$41/12,'30% Down Amortization'!$A252,360,'With Loan'!$D$40,0,0)</f>
        <v>474.21494295769241</v>
      </c>
      <c r="D252" s="4">
        <f t="shared" si="7"/>
        <v>1607.9049158470175</v>
      </c>
      <c r="E252" s="3">
        <f t="shared" si="8"/>
        <v>150615.09177357255</v>
      </c>
    </row>
    <row r="253" spans="1:5" x14ac:dyDescent="0.25">
      <c r="A253">
        <v>250</v>
      </c>
      <c r="B253" s="4">
        <f>-PPMT('With Loan'!$D$41/12,'30% Down Amortization'!$A253,360,'With Loan'!$D$40,0,0)</f>
        <v>1137.2327540546041</v>
      </c>
      <c r="C253" s="4">
        <f>-IPMT('With Loan'!$D$41/12,'30% Down Amortization'!$A253,360,'With Loan'!$D$40,0,0)</f>
        <v>470.67216179241336</v>
      </c>
      <c r="D253" s="4">
        <f t="shared" si="7"/>
        <v>1607.9049158470175</v>
      </c>
      <c r="E253" s="3">
        <f t="shared" si="8"/>
        <v>149477.85901951796</v>
      </c>
    </row>
    <row r="254" spans="1:5" x14ac:dyDescent="0.25">
      <c r="A254">
        <v>251</v>
      </c>
      <c r="B254" s="4">
        <f>-PPMT('With Loan'!$D$41/12,'30% Down Amortization'!$A254,360,'With Loan'!$D$40,0,0)</f>
        <v>1140.7866064110246</v>
      </c>
      <c r="C254" s="4">
        <f>-IPMT('With Loan'!$D$41/12,'30% Down Amortization'!$A254,360,'With Loan'!$D$40,0,0)</f>
        <v>467.11830943599267</v>
      </c>
      <c r="D254" s="4">
        <f t="shared" si="7"/>
        <v>1607.9049158470173</v>
      </c>
      <c r="E254" s="3">
        <f t="shared" si="8"/>
        <v>148337.07241310694</v>
      </c>
    </row>
    <row r="255" spans="1:5" x14ac:dyDescent="0.25">
      <c r="A255">
        <v>252</v>
      </c>
      <c r="B255" s="4">
        <f>-PPMT('With Loan'!$D$41/12,'30% Down Amortization'!$A255,360,'With Loan'!$D$40,0,0)</f>
        <v>1144.3515645560592</v>
      </c>
      <c r="C255" s="4">
        <f>-IPMT('With Loan'!$D$41/12,'30% Down Amortization'!$A255,360,'With Loan'!$D$40,0,0)</f>
        <v>463.55335129095823</v>
      </c>
      <c r="D255" s="4">
        <f t="shared" si="7"/>
        <v>1607.9049158470175</v>
      </c>
      <c r="E255" s="3">
        <f t="shared" si="8"/>
        <v>147192.72084855087</v>
      </c>
    </row>
    <row r="256" spans="1:5" x14ac:dyDescent="0.25">
      <c r="A256">
        <v>253</v>
      </c>
      <c r="B256" s="4">
        <f>-PPMT('With Loan'!$D$41/12,'30% Down Amortization'!$A256,360,'With Loan'!$D$40,0,0)</f>
        <v>1147.9276631952969</v>
      </c>
      <c r="C256" s="4">
        <f>-IPMT('With Loan'!$D$41/12,'30% Down Amortization'!$A256,360,'With Loan'!$D$40,0,0)</f>
        <v>459.97725265172056</v>
      </c>
      <c r="D256" s="4">
        <f t="shared" si="7"/>
        <v>1607.9049158470175</v>
      </c>
      <c r="E256" s="3">
        <f t="shared" si="8"/>
        <v>146044.79318535558</v>
      </c>
    </row>
    <row r="257" spans="1:5" x14ac:dyDescent="0.25">
      <c r="A257">
        <v>254</v>
      </c>
      <c r="B257" s="4">
        <f>-PPMT('With Loan'!$D$41/12,'30% Down Amortization'!$A257,360,'With Loan'!$D$40,0,0)</f>
        <v>1151.5149371427822</v>
      </c>
      <c r="C257" s="4">
        <f>-IPMT('With Loan'!$D$41/12,'30% Down Amortization'!$A257,360,'With Loan'!$D$40,0,0)</f>
        <v>456.38997870423532</v>
      </c>
      <c r="D257" s="4">
        <f t="shared" si="7"/>
        <v>1607.9049158470175</v>
      </c>
      <c r="E257" s="3">
        <f t="shared" si="8"/>
        <v>144893.2782482128</v>
      </c>
    </row>
    <row r="258" spans="1:5" x14ac:dyDescent="0.25">
      <c r="A258">
        <v>255</v>
      </c>
      <c r="B258" s="4">
        <f>-PPMT('With Loan'!$D$41/12,'30% Down Amortization'!$A258,360,'With Loan'!$D$40,0,0)</f>
        <v>1155.1134213213536</v>
      </c>
      <c r="C258" s="4">
        <f>-IPMT('With Loan'!$D$41/12,'30% Down Amortization'!$A258,360,'With Loan'!$D$40,0,0)</f>
        <v>452.79149452566406</v>
      </c>
      <c r="D258" s="4">
        <f t="shared" si="7"/>
        <v>1607.9049158470177</v>
      </c>
      <c r="E258" s="3">
        <f t="shared" si="8"/>
        <v>143738.16482689144</v>
      </c>
    </row>
    <row r="259" spans="1:5" x14ac:dyDescent="0.25">
      <c r="A259">
        <v>256</v>
      </c>
      <c r="B259" s="4">
        <f>-PPMT('With Loan'!$D$41/12,'30% Down Amortization'!$A259,360,'With Loan'!$D$40,0,0)</f>
        <v>1158.7231507629826</v>
      </c>
      <c r="C259" s="4">
        <f>-IPMT('With Loan'!$D$41/12,'30% Down Amortization'!$A259,360,'With Loan'!$D$40,0,0)</f>
        <v>449.18176508403479</v>
      </c>
      <c r="D259" s="4">
        <f t="shared" si="7"/>
        <v>1607.9049158470175</v>
      </c>
      <c r="E259" s="3">
        <f t="shared" si="8"/>
        <v>142579.44167612845</v>
      </c>
    </row>
    <row r="260" spans="1:5" x14ac:dyDescent="0.25">
      <c r="A260">
        <v>257</v>
      </c>
      <c r="B260" s="4">
        <f>-PPMT('With Loan'!$D$41/12,'30% Down Amortization'!$A260,360,'With Loan'!$D$40,0,0)</f>
        <v>1162.3441606091169</v>
      </c>
      <c r="C260" s="4">
        <f>-IPMT('With Loan'!$D$41/12,'30% Down Amortization'!$A260,360,'With Loan'!$D$40,0,0)</f>
        <v>445.56075523790054</v>
      </c>
      <c r="D260" s="4">
        <f t="shared" si="7"/>
        <v>1607.9049158470175</v>
      </c>
      <c r="E260" s="3">
        <f t="shared" si="8"/>
        <v>141417.09751551933</v>
      </c>
    </row>
    <row r="261" spans="1:5" x14ac:dyDescent="0.25">
      <c r="A261">
        <v>258</v>
      </c>
      <c r="B261" s="4">
        <f>-PPMT('With Loan'!$D$41/12,'30% Down Amortization'!$A261,360,'With Loan'!$D$40,0,0)</f>
        <v>1165.9764861110204</v>
      </c>
      <c r="C261" s="4">
        <f>-IPMT('With Loan'!$D$41/12,'30% Down Amortization'!$A261,360,'With Loan'!$D$40,0,0)</f>
        <v>441.92842973599704</v>
      </c>
      <c r="D261" s="4">
        <f t="shared" ref="D261:D324" si="9">B261+C261</f>
        <v>1607.9049158470175</v>
      </c>
      <c r="E261" s="3">
        <f t="shared" si="8"/>
        <v>140251.1210294083</v>
      </c>
    </row>
    <row r="262" spans="1:5" x14ac:dyDescent="0.25">
      <c r="A262">
        <v>259</v>
      </c>
      <c r="B262" s="4">
        <f>-PPMT('With Loan'!$D$41/12,'30% Down Amortization'!$A262,360,'With Loan'!$D$40,0,0)</f>
        <v>1169.6201626301174</v>
      </c>
      <c r="C262" s="4">
        <f>-IPMT('With Loan'!$D$41/12,'30% Down Amortization'!$A262,360,'With Loan'!$D$40,0,0)</f>
        <v>438.28475321690007</v>
      </c>
      <c r="D262" s="4">
        <f t="shared" si="9"/>
        <v>1607.9049158470175</v>
      </c>
      <c r="E262" s="3">
        <f t="shared" si="8"/>
        <v>139081.50086677819</v>
      </c>
    </row>
    <row r="263" spans="1:5" x14ac:dyDescent="0.25">
      <c r="A263">
        <v>260</v>
      </c>
      <c r="B263" s="4">
        <f>-PPMT('With Loan'!$D$41/12,'30% Down Amortization'!$A263,360,'With Loan'!$D$40,0,0)</f>
        <v>1173.2752256383365</v>
      </c>
      <c r="C263" s="4">
        <f>-IPMT('With Loan'!$D$41/12,'30% Down Amortization'!$A263,360,'With Loan'!$D$40,0,0)</f>
        <v>434.62969020868098</v>
      </c>
      <c r="D263" s="4">
        <f t="shared" si="9"/>
        <v>1607.9049158470175</v>
      </c>
      <c r="E263" s="3">
        <f t="shared" si="8"/>
        <v>137908.22564113987</v>
      </c>
    </row>
    <row r="264" spans="1:5" x14ac:dyDescent="0.25">
      <c r="A264">
        <v>261</v>
      </c>
      <c r="B264" s="4">
        <f>-PPMT('With Loan'!$D$41/12,'30% Down Amortization'!$A264,360,'With Loan'!$D$40,0,0)</f>
        <v>1176.9417107184563</v>
      </c>
      <c r="C264" s="4">
        <f>-IPMT('With Loan'!$D$41/12,'30% Down Amortization'!$A264,360,'With Loan'!$D$40,0,0)</f>
        <v>430.96320512856113</v>
      </c>
      <c r="D264" s="4">
        <f t="shared" si="9"/>
        <v>1607.9049158470175</v>
      </c>
      <c r="E264" s="3">
        <f t="shared" si="8"/>
        <v>136731.2839304214</v>
      </c>
    </row>
    <row r="265" spans="1:5" x14ac:dyDescent="0.25">
      <c r="A265">
        <v>262</v>
      </c>
      <c r="B265" s="4">
        <f>-PPMT('With Loan'!$D$41/12,'30% Down Amortization'!$A265,360,'With Loan'!$D$40,0,0)</f>
        <v>1180.6196535644513</v>
      </c>
      <c r="C265" s="4">
        <f>-IPMT('With Loan'!$D$41/12,'30% Down Amortization'!$A265,360,'With Loan'!$D$40,0,0)</f>
        <v>427.28526228256595</v>
      </c>
      <c r="D265" s="4">
        <f t="shared" si="9"/>
        <v>1607.9049158470173</v>
      </c>
      <c r="E265" s="3">
        <f t="shared" si="8"/>
        <v>135550.66427685696</v>
      </c>
    </row>
    <row r="266" spans="1:5" x14ac:dyDescent="0.25">
      <c r="A266">
        <v>263</v>
      </c>
      <c r="B266" s="4">
        <f>-PPMT('With Loan'!$D$41/12,'30% Down Amortization'!$A266,360,'With Loan'!$D$40,0,0)</f>
        <v>1184.3090899818403</v>
      </c>
      <c r="C266" s="4">
        <f>-IPMT('With Loan'!$D$41/12,'30% Down Amortization'!$A266,360,'With Loan'!$D$40,0,0)</f>
        <v>423.59582586517706</v>
      </c>
      <c r="D266" s="4">
        <f t="shared" si="9"/>
        <v>1607.9049158470175</v>
      </c>
      <c r="E266" s="3">
        <f t="shared" si="8"/>
        <v>134366.35518687512</v>
      </c>
    </row>
    <row r="267" spans="1:5" x14ac:dyDescent="0.25">
      <c r="A267">
        <v>264</v>
      </c>
      <c r="B267" s="4">
        <f>-PPMT('With Loan'!$D$41/12,'30% Down Amortization'!$A267,360,'With Loan'!$D$40,0,0)</f>
        <v>1188.0100558880335</v>
      </c>
      <c r="C267" s="4">
        <f>-IPMT('With Loan'!$D$41/12,'30% Down Amortization'!$A267,360,'With Loan'!$D$40,0,0)</f>
        <v>419.89485995898383</v>
      </c>
      <c r="D267" s="4">
        <f t="shared" si="9"/>
        <v>1607.9049158470175</v>
      </c>
      <c r="E267" s="3">
        <f t="shared" si="8"/>
        <v>133178.34513098709</v>
      </c>
    </row>
    <row r="268" spans="1:5" x14ac:dyDescent="0.25">
      <c r="A268">
        <v>265</v>
      </c>
      <c r="B268" s="4">
        <f>-PPMT('With Loan'!$D$41/12,'30% Down Amortization'!$A268,360,'With Loan'!$D$40,0,0)</f>
        <v>1191.7225873126836</v>
      </c>
      <c r="C268" s="4">
        <f>-IPMT('With Loan'!$D$41/12,'30% Down Amortization'!$A268,360,'With Loan'!$D$40,0,0)</f>
        <v>416.18232853433369</v>
      </c>
      <c r="D268" s="4">
        <f t="shared" si="9"/>
        <v>1607.9049158470173</v>
      </c>
      <c r="E268" s="3">
        <f t="shared" si="8"/>
        <v>131986.6225436744</v>
      </c>
    </row>
    <row r="269" spans="1:5" x14ac:dyDescent="0.25">
      <c r="A269">
        <v>266</v>
      </c>
      <c r="B269" s="4">
        <f>-PPMT('With Loan'!$D$41/12,'30% Down Amortization'!$A269,360,'With Loan'!$D$40,0,0)</f>
        <v>1195.4467203980357</v>
      </c>
      <c r="C269" s="4">
        <f>-IPMT('With Loan'!$D$41/12,'30% Down Amortization'!$A269,360,'With Loan'!$D$40,0,0)</f>
        <v>412.45819544898166</v>
      </c>
      <c r="D269" s="4">
        <f t="shared" si="9"/>
        <v>1607.9049158470175</v>
      </c>
      <c r="E269" s="3">
        <f t="shared" si="8"/>
        <v>130791.17582327637</v>
      </c>
    </row>
    <row r="270" spans="1:5" x14ac:dyDescent="0.25">
      <c r="A270">
        <v>267</v>
      </c>
      <c r="B270" s="4">
        <f>-PPMT('With Loan'!$D$41/12,'30% Down Amortization'!$A270,360,'With Loan'!$D$40,0,0)</f>
        <v>1199.1824913992798</v>
      </c>
      <c r="C270" s="4">
        <f>-IPMT('With Loan'!$D$41/12,'30% Down Amortization'!$A270,360,'With Loan'!$D$40,0,0)</f>
        <v>408.72242444773775</v>
      </c>
      <c r="D270" s="4">
        <f t="shared" si="9"/>
        <v>1607.9049158470175</v>
      </c>
      <c r="E270" s="3">
        <f t="shared" si="8"/>
        <v>129591.99333187709</v>
      </c>
    </row>
    <row r="271" spans="1:5" x14ac:dyDescent="0.25">
      <c r="A271">
        <v>268</v>
      </c>
      <c r="B271" s="4">
        <f>-PPMT('With Loan'!$D$41/12,'30% Down Amortization'!$A271,360,'With Loan'!$D$40,0,0)</f>
        <v>1202.9299366849025</v>
      </c>
      <c r="C271" s="4">
        <f>-IPMT('With Loan'!$D$41/12,'30% Down Amortization'!$A271,360,'With Loan'!$D$40,0,0)</f>
        <v>404.97497916211495</v>
      </c>
      <c r="D271" s="4">
        <f t="shared" si="9"/>
        <v>1607.9049158470175</v>
      </c>
      <c r="E271" s="3">
        <f t="shared" si="8"/>
        <v>128389.06339519219</v>
      </c>
    </row>
    <row r="272" spans="1:5" x14ac:dyDescent="0.25">
      <c r="A272">
        <v>269</v>
      </c>
      <c r="B272" s="4">
        <f>-PPMT('With Loan'!$D$41/12,'30% Down Amortization'!$A272,360,'With Loan'!$D$40,0,0)</f>
        <v>1206.6890927370428</v>
      </c>
      <c r="C272" s="4">
        <f>-IPMT('With Loan'!$D$41/12,'30% Down Amortization'!$A272,360,'With Loan'!$D$40,0,0)</f>
        <v>401.21582310997468</v>
      </c>
      <c r="D272" s="4">
        <f t="shared" si="9"/>
        <v>1607.9049158470175</v>
      </c>
      <c r="E272" s="3">
        <f t="shared" si="8"/>
        <v>127182.37430245515</v>
      </c>
    </row>
    <row r="273" spans="1:5" x14ac:dyDescent="0.25">
      <c r="A273">
        <v>270</v>
      </c>
      <c r="B273" s="4">
        <f>-PPMT('With Loan'!$D$41/12,'30% Down Amortization'!$A273,360,'With Loan'!$D$40,0,0)</f>
        <v>1210.4599961518461</v>
      </c>
      <c r="C273" s="4">
        <f>-IPMT('With Loan'!$D$41/12,'30% Down Amortization'!$A273,360,'With Loan'!$D$40,0,0)</f>
        <v>397.44491969517139</v>
      </c>
      <c r="D273" s="4">
        <f t="shared" si="9"/>
        <v>1607.9049158470175</v>
      </c>
      <c r="E273" s="3">
        <f t="shared" si="8"/>
        <v>125971.91430630331</v>
      </c>
    </row>
    <row r="274" spans="1:5" x14ac:dyDescent="0.25">
      <c r="A274">
        <v>271</v>
      </c>
      <c r="B274" s="4">
        <f>-PPMT('With Loan'!$D$41/12,'30% Down Amortization'!$A274,360,'With Loan'!$D$40,0,0)</f>
        <v>1214.2426836398206</v>
      </c>
      <c r="C274" s="4">
        <f>-IPMT('With Loan'!$D$41/12,'30% Down Amortization'!$A274,360,'With Loan'!$D$40,0,0)</f>
        <v>393.66223220719684</v>
      </c>
      <c r="D274" s="4">
        <f t="shared" si="9"/>
        <v>1607.9049158470175</v>
      </c>
      <c r="E274" s="3">
        <f t="shared" si="8"/>
        <v>124757.67162266349</v>
      </c>
    </row>
    <row r="275" spans="1:5" x14ac:dyDescent="0.25">
      <c r="A275">
        <v>272</v>
      </c>
      <c r="B275" s="4">
        <f>-PPMT('With Loan'!$D$41/12,'30% Down Amortization'!$A275,360,'With Loan'!$D$40,0,0)</f>
        <v>1218.037192026195</v>
      </c>
      <c r="C275" s="4">
        <f>-IPMT('With Loan'!$D$41/12,'30% Down Amortization'!$A275,360,'With Loan'!$D$40,0,0)</f>
        <v>389.86772382082239</v>
      </c>
      <c r="D275" s="4">
        <f t="shared" si="9"/>
        <v>1607.9049158470175</v>
      </c>
      <c r="E275" s="3">
        <f t="shared" si="8"/>
        <v>123539.63443063729</v>
      </c>
    </row>
    <row r="276" spans="1:5" x14ac:dyDescent="0.25">
      <c r="A276">
        <v>273</v>
      </c>
      <c r="B276" s="4">
        <f>-PPMT('With Loan'!$D$41/12,'30% Down Amortization'!$A276,360,'With Loan'!$D$40,0,0)</f>
        <v>1221.8435582512768</v>
      </c>
      <c r="C276" s="4">
        <f>-IPMT('With Loan'!$D$41/12,'30% Down Amortization'!$A276,360,'With Loan'!$D$40,0,0)</f>
        <v>386.06135759574062</v>
      </c>
      <c r="D276" s="4">
        <f t="shared" si="9"/>
        <v>1607.9049158470175</v>
      </c>
      <c r="E276" s="3">
        <f t="shared" si="8"/>
        <v>122317.79087238602</v>
      </c>
    </row>
    <row r="277" spans="1:5" x14ac:dyDescent="0.25">
      <c r="A277">
        <v>274</v>
      </c>
      <c r="B277" s="4">
        <f>-PPMT('With Loan'!$D$41/12,'30% Down Amortization'!$A277,360,'With Loan'!$D$40,0,0)</f>
        <v>1225.6618193708121</v>
      </c>
      <c r="C277" s="4">
        <f>-IPMT('With Loan'!$D$41/12,'30% Down Amortization'!$A277,360,'With Loan'!$D$40,0,0)</f>
        <v>382.24309647620538</v>
      </c>
      <c r="D277" s="4">
        <f t="shared" si="9"/>
        <v>1607.9049158470175</v>
      </c>
      <c r="E277" s="3">
        <f t="shared" si="8"/>
        <v>121092.1290530152</v>
      </c>
    </row>
    <row r="278" spans="1:5" x14ac:dyDescent="0.25">
      <c r="A278">
        <v>275</v>
      </c>
      <c r="B278" s="4">
        <f>-PPMT('With Loan'!$D$41/12,'30% Down Amortization'!$A278,360,'With Loan'!$D$40,0,0)</f>
        <v>1229.4920125563458</v>
      </c>
      <c r="C278" s="4">
        <f>-IPMT('With Loan'!$D$41/12,'30% Down Amortization'!$A278,360,'With Loan'!$D$40,0,0)</f>
        <v>378.41290329067147</v>
      </c>
      <c r="D278" s="4">
        <f t="shared" si="9"/>
        <v>1607.9049158470173</v>
      </c>
      <c r="E278" s="3">
        <f t="shared" si="8"/>
        <v>119862.63704045885</v>
      </c>
    </row>
    <row r="279" spans="1:5" x14ac:dyDescent="0.25">
      <c r="A279">
        <v>276</v>
      </c>
      <c r="B279" s="4">
        <f>-PPMT('With Loan'!$D$41/12,'30% Down Amortization'!$A279,360,'With Loan'!$D$40,0,0)</f>
        <v>1233.3341750955844</v>
      </c>
      <c r="C279" s="4">
        <f>-IPMT('With Loan'!$D$41/12,'30% Down Amortization'!$A279,360,'With Loan'!$D$40,0,0)</f>
        <v>374.57074075143299</v>
      </c>
      <c r="D279" s="4">
        <f t="shared" si="9"/>
        <v>1607.9049158470175</v>
      </c>
      <c r="E279" s="3">
        <f t="shared" si="8"/>
        <v>118629.30286536326</v>
      </c>
    </row>
    <row r="280" spans="1:5" x14ac:dyDescent="0.25">
      <c r="A280">
        <v>277</v>
      </c>
      <c r="B280" s="4">
        <f>-PPMT('With Loan'!$D$41/12,'30% Down Amortization'!$A280,360,'With Loan'!$D$40,0,0)</f>
        <v>1237.1883443927582</v>
      </c>
      <c r="C280" s="4">
        <f>-IPMT('With Loan'!$D$41/12,'30% Down Amortization'!$A280,360,'With Loan'!$D$40,0,0)</f>
        <v>370.71657145425928</v>
      </c>
      <c r="D280" s="4">
        <f t="shared" si="9"/>
        <v>1607.9049158470175</v>
      </c>
      <c r="E280" s="3">
        <f t="shared" si="8"/>
        <v>117392.1145209705</v>
      </c>
    </row>
    <row r="281" spans="1:5" x14ac:dyDescent="0.25">
      <c r="A281">
        <v>278</v>
      </c>
      <c r="B281" s="4">
        <f>-PPMT('With Loan'!$D$41/12,'30% Down Amortization'!$A281,360,'With Loan'!$D$40,0,0)</f>
        <v>1241.0545579689854</v>
      </c>
      <c r="C281" s="4">
        <f>-IPMT('With Loan'!$D$41/12,'30% Down Amortization'!$A281,360,'With Loan'!$D$40,0,0)</f>
        <v>366.85035787803184</v>
      </c>
      <c r="D281" s="4">
        <f t="shared" si="9"/>
        <v>1607.9049158470173</v>
      </c>
      <c r="E281" s="3">
        <f t="shared" si="8"/>
        <v>116151.05996300152</v>
      </c>
    </row>
    <row r="282" spans="1:5" x14ac:dyDescent="0.25">
      <c r="A282">
        <v>279</v>
      </c>
      <c r="B282" s="4">
        <f>-PPMT('With Loan'!$D$41/12,'30% Down Amortization'!$A282,360,'With Loan'!$D$40,0,0)</f>
        <v>1244.9328534626384</v>
      </c>
      <c r="C282" s="4">
        <f>-IPMT('With Loan'!$D$41/12,'30% Down Amortization'!$A282,360,'With Loan'!$D$40,0,0)</f>
        <v>362.97206238437883</v>
      </c>
      <c r="D282" s="4">
        <f t="shared" si="9"/>
        <v>1607.9049158470173</v>
      </c>
      <c r="E282" s="3">
        <f t="shared" si="8"/>
        <v>114906.12710953888</v>
      </c>
    </row>
    <row r="283" spans="1:5" x14ac:dyDescent="0.25">
      <c r="A283">
        <v>280</v>
      </c>
      <c r="B283" s="4">
        <f>-PPMT('With Loan'!$D$41/12,'30% Down Amortization'!$A283,360,'With Loan'!$D$40,0,0)</f>
        <v>1248.8232686297092</v>
      </c>
      <c r="C283" s="4">
        <f>-IPMT('With Loan'!$D$41/12,'30% Down Amortization'!$A283,360,'With Loan'!$D$40,0,0)</f>
        <v>359.08164721730816</v>
      </c>
      <c r="D283" s="4">
        <f t="shared" si="9"/>
        <v>1607.9049158470175</v>
      </c>
      <c r="E283" s="3">
        <f t="shared" si="8"/>
        <v>113657.30384090917</v>
      </c>
    </row>
    <row r="284" spans="1:5" x14ac:dyDescent="0.25">
      <c r="A284">
        <v>281</v>
      </c>
      <c r="B284" s="4">
        <f>-PPMT('With Loan'!$D$41/12,'30% Down Amortization'!$A284,360,'With Loan'!$D$40,0,0)</f>
        <v>1252.7258413441773</v>
      </c>
      <c r="C284" s="4">
        <f>-IPMT('With Loan'!$D$41/12,'30% Down Amortization'!$A284,360,'With Loan'!$D$40,0,0)</f>
        <v>355.17907450284031</v>
      </c>
      <c r="D284" s="4">
        <f t="shared" si="9"/>
        <v>1607.9049158470175</v>
      </c>
      <c r="E284" s="3">
        <f t="shared" si="8"/>
        <v>112404.57799956499</v>
      </c>
    </row>
    <row r="285" spans="1:5" x14ac:dyDescent="0.25">
      <c r="A285">
        <v>282</v>
      </c>
      <c r="B285" s="4">
        <f>-PPMT('With Loan'!$D$41/12,'30% Down Amortization'!$A285,360,'With Loan'!$D$40,0,0)</f>
        <v>1256.6406095983778</v>
      </c>
      <c r="C285" s="4">
        <f>-IPMT('With Loan'!$D$41/12,'30% Down Amortization'!$A285,360,'With Loan'!$D$40,0,0)</f>
        <v>351.26430624863968</v>
      </c>
      <c r="D285" s="4">
        <f t="shared" si="9"/>
        <v>1607.9049158470175</v>
      </c>
      <c r="E285" s="3">
        <f t="shared" si="8"/>
        <v>111147.93738996661</v>
      </c>
    </row>
    <row r="286" spans="1:5" x14ac:dyDescent="0.25">
      <c r="A286">
        <v>283</v>
      </c>
      <c r="B286" s="4">
        <f>-PPMT('With Loan'!$D$41/12,'30% Down Amortization'!$A286,360,'With Loan'!$D$40,0,0)</f>
        <v>1260.5676115033725</v>
      </c>
      <c r="C286" s="4">
        <f>-IPMT('With Loan'!$D$41/12,'30% Down Amortization'!$A286,360,'With Loan'!$D$40,0,0)</f>
        <v>347.33730434364475</v>
      </c>
      <c r="D286" s="4">
        <f t="shared" si="9"/>
        <v>1607.9049158470173</v>
      </c>
      <c r="E286" s="3">
        <f t="shared" si="8"/>
        <v>109887.36977846324</v>
      </c>
    </row>
    <row r="287" spans="1:5" x14ac:dyDescent="0.25">
      <c r="A287">
        <v>284</v>
      </c>
      <c r="B287" s="4">
        <f>-PPMT('With Loan'!$D$41/12,'30% Down Amortization'!$A287,360,'With Loan'!$D$40,0,0)</f>
        <v>1264.5068852893207</v>
      </c>
      <c r="C287" s="4">
        <f>-IPMT('With Loan'!$D$41/12,'30% Down Amortization'!$A287,360,'With Loan'!$D$40,0,0)</f>
        <v>343.3980305576967</v>
      </c>
      <c r="D287" s="4">
        <f t="shared" si="9"/>
        <v>1607.9049158470175</v>
      </c>
      <c r="E287" s="3">
        <f t="shared" si="8"/>
        <v>108622.86289317392</v>
      </c>
    </row>
    <row r="288" spans="1:5" x14ac:dyDescent="0.25">
      <c r="A288">
        <v>285</v>
      </c>
      <c r="B288" s="4">
        <f>-PPMT('With Loan'!$D$41/12,'30% Down Amortization'!$A288,360,'With Loan'!$D$40,0,0)</f>
        <v>1268.4584693058498</v>
      </c>
      <c r="C288" s="4">
        <f>-IPMT('With Loan'!$D$41/12,'30% Down Amortization'!$A288,360,'With Loan'!$D$40,0,0)</f>
        <v>339.44644654116757</v>
      </c>
      <c r="D288" s="4">
        <f t="shared" si="9"/>
        <v>1607.9049158470175</v>
      </c>
      <c r="E288" s="3">
        <f t="shared" si="8"/>
        <v>107354.40442386807</v>
      </c>
    </row>
    <row r="289" spans="1:5" x14ac:dyDescent="0.25">
      <c r="A289">
        <v>286</v>
      </c>
      <c r="B289" s="4">
        <f>-PPMT('With Loan'!$D$41/12,'30% Down Amortization'!$A289,360,'With Loan'!$D$40,0,0)</f>
        <v>1272.4224020224308</v>
      </c>
      <c r="C289" s="4">
        <f>-IPMT('With Loan'!$D$41/12,'30% Down Amortization'!$A289,360,'With Loan'!$D$40,0,0)</f>
        <v>335.48251382458687</v>
      </c>
      <c r="D289" s="4">
        <f t="shared" si="9"/>
        <v>1607.9049158470177</v>
      </c>
      <c r="E289" s="3">
        <f t="shared" si="8"/>
        <v>106081.98202184563</v>
      </c>
    </row>
    <row r="290" spans="1:5" x14ac:dyDescent="0.25">
      <c r="A290">
        <v>287</v>
      </c>
      <c r="B290" s="4">
        <f>-PPMT('With Loan'!$D$41/12,'30% Down Amortization'!$A290,360,'With Loan'!$D$40,0,0)</f>
        <v>1276.3987220287509</v>
      </c>
      <c r="C290" s="4">
        <f>-IPMT('With Loan'!$D$41/12,'30% Down Amortization'!$A290,360,'With Loan'!$D$40,0,0)</f>
        <v>331.50619381826664</v>
      </c>
      <c r="D290" s="4">
        <f t="shared" si="9"/>
        <v>1607.9049158470175</v>
      </c>
      <c r="E290" s="3">
        <f t="shared" ref="E290:E353" si="10">E289-B290</f>
        <v>104805.58329981688</v>
      </c>
    </row>
    <row r="291" spans="1:5" x14ac:dyDescent="0.25">
      <c r="A291">
        <v>288</v>
      </c>
      <c r="B291" s="4">
        <f>-PPMT('With Loan'!$D$41/12,'30% Down Amortization'!$A291,360,'With Loan'!$D$40,0,0)</f>
        <v>1280.3874680350907</v>
      </c>
      <c r="C291" s="4">
        <f>-IPMT('With Loan'!$D$41/12,'30% Down Amortization'!$A291,360,'With Loan'!$D$40,0,0)</f>
        <v>327.51744781192684</v>
      </c>
      <c r="D291" s="4">
        <f t="shared" si="9"/>
        <v>1607.9049158470175</v>
      </c>
      <c r="E291" s="3">
        <f t="shared" si="10"/>
        <v>103525.19583178179</v>
      </c>
    </row>
    <row r="292" spans="1:5" x14ac:dyDescent="0.25">
      <c r="A292">
        <v>289</v>
      </c>
      <c r="B292" s="4">
        <f>-PPMT('With Loan'!$D$41/12,'30% Down Amortization'!$A292,360,'With Loan'!$D$40,0,0)</f>
        <v>1284.3886788727002</v>
      </c>
      <c r="C292" s="4">
        <f>-IPMT('With Loan'!$D$41/12,'30% Down Amortization'!$A292,360,'With Loan'!$D$40,0,0)</f>
        <v>323.51623697431722</v>
      </c>
      <c r="D292" s="4">
        <f t="shared" si="9"/>
        <v>1607.9049158470175</v>
      </c>
      <c r="E292" s="3">
        <f t="shared" si="10"/>
        <v>102240.8071529091</v>
      </c>
    </row>
    <row r="293" spans="1:5" x14ac:dyDescent="0.25">
      <c r="A293">
        <v>290</v>
      </c>
      <c r="B293" s="4">
        <f>-PPMT('With Loan'!$D$41/12,'30% Down Amortization'!$A293,360,'With Loan'!$D$40,0,0)</f>
        <v>1288.4023934941774</v>
      </c>
      <c r="C293" s="4">
        <f>-IPMT('With Loan'!$D$41/12,'30% Down Amortization'!$A293,360,'With Loan'!$D$40,0,0)</f>
        <v>319.50252235284006</v>
      </c>
      <c r="D293" s="4">
        <f t="shared" si="9"/>
        <v>1607.9049158470175</v>
      </c>
      <c r="E293" s="3">
        <f t="shared" si="10"/>
        <v>100952.40475941492</v>
      </c>
    </row>
    <row r="294" spans="1:5" x14ac:dyDescent="0.25">
      <c r="A294">
        <v>291</v>
      </c>
      <c r="B294" s="4">
        <f>-PPMT('With Loan'!$D$41/12,'30% Down Amortization'!$A294,360,'With Loan'!$D$40,0,0)</f>
        <v>1292.4286509738467</v>
      </c>
      <c r="C294" s="4">
        <f>-IPMT('With Loan'!$D$41/12,'30% Down Amortization'!$A294,360,'With Loan'!$D$40,0,0)</f>
        <v>315.47626487317075</v>
      </c>
      <c r="D294" s="4">
        <f t="shared" si="9"/>
        <v>1607.9049158470175</v>
      </c>
      <c r="E294" s="3">
        <f t="shared" si="10"/>
        <v>99659.976108441071</v>
      </c>
    </row>
    <row r="295" spans="1:5" x14ac:dyDescent="0.25">
      <c r="A295">
        <v>292</v>
      </c>
      <c r="B295" s="4">
        <f>-PPMT('With Loan'!$D$41/12,'30% Down Amortization'!$A295,360,'With Loan'!$D$40,0,0)</f>
        <v>1296.4674905081401</v>
      </c>
      <c r="C295" s="4">
        <f>-IPMT('With Loan'!$D$41/12,'30% Down Amortization'!$A295,360,'With Loan'!$D$40,0,0)</f>
        <v>311.43742533887746</v>
      </c>
      <c r="D295" s="4">
        <f t="shared" si="9"/>
        <v>1607.9049158470175</v>
      </c>
      <c r="E295" s="3">
        <f t="shared" si="10"/>
        <v>98363.508617932937</v>
      </c>
    </row>
    <row r="296" spans="1:5" x14ac:dyDescent="0.25">
      <c r="A296">
        <v>293</v>
      </c>
      <c r="B296" s="4">
        <f>-PPMT('With Loan'!$D$41/12,'30% Down Amortization'!$A296,360,'With Loan'!$D$40,0,0)</f>
        <v>1300.5189514159779</v>
      </c>
      <c r="C296" s="4">
        <f>-IPMT('With Loan'!$D$41/12,'30% Down Amortization'!$A296,360,'With Loan'!$D$40,0,0)</f>
        <v>307.3859644310395</v>
      </c>
      <c r="D296" s="4">
        <f t="shared" si="9"/>
        <v>1607.9049158470175</v>
      </c>
      <c r="E296" s="3">
        <f t="shared" si="10"/>
        <v>97062.989666516965</v>
      </c>
    </row>
    <row r="297" spans="1:5" x14ac:dyDescent="0.25">
      <c r="A297">
        <v>294</v>
      </c>
      <c r="B297" s="4">
        <f>-PPMT('With Loan'!$D$41/12,'30% Down Amortization'!$A297,360,'With Loan'!$D$40,0,0)</f>
        <v>1304.5830731391529</v>
      </c>
      <c r="C297" s="4">
        <f>-IPMT('With Loan'!$D$41/12,'30% Down Amortization'!$A297,360,'With Loan'!$D$40,0,0)</f>
        <v>303.32184270786462</v>
      </c>
      <c r="D297" s="4">
        <f t="shared" si="9"/>
        <v>1607.9049158470175</v>
      </c>
      <c r="E297" s="3">
        <f t="shared" si="10"/>
        <v>95758.406593377818</v>
      </c>
    </row>
    <row r="298" spans="1:5" x14ac:dyDescent="0.25">
      <c r="A298">
        <v>295</v>
      </c>
      <c r="B298" s="4">
        <f>-PPMT('With Loan'!$D$41/12,'30% Down Amortization'!$A298,360,'With Loan'!$D$40,0,0)</f>
        <v>1308.6598952427128</v>
      </c>
      <c r="C298" s="4">
        <f>-IPMT('With Loan'!$D$41/12,'30% Down Amortization'!$A298,360,'With Loan'!$D$40,0,0)</f>
        <v>299.24502060430473</v>
      </c>
      <c r="D298" s="4">
        <f t="shared" si="9"/>
        <v>1607.9049158470175</v>
      </c>
      <c r="E298" s="3">
        <f t="shared" si="10"/>
        <v>94449.746698135103</v>
      </c>
    </row>
    <row r="299" spans="1:5" x14ac:dyDescent="0.25">
      <c r="A299">
        <v>296</v>
      </c>
      <c r="B299" s="4">
        <f>-PPMT('With Loan'!$D$41/12,'30% Down Amortization'!$A299,360,'With Loan'!$D$40,0,0)</f>
        <v>1312.7494574153461</v>
      </c>
      <c r="C299" s="4">
        <f>-IPMT('With Loan'!$D$41/12,'30% Down Amortization'!$A299,360,'With Loan'!$D$40,0,0)</f>
        <v>295.15545843167126</v>
      </c>
      <c r="D299" s="4">
        <f t="shared" si="9"/>
        <v>1607.9049158470175</v>
      </c>
      <c r="E299" s="3">
        <f t="shared" si="10"/>
        <v>93136.997240719764</v>
      </c>
    </row>
    <row r="300" spans="1:5" x14ac:dyDescent="0.25">
      <c r="A300">
        <v>297</v>
      </c>
      <c r="B300" s="4">
        <f>-PPMT('With Loan'!$D$41/12,'30% Down Amortization'!$A300,360,'With Loan'!$D$40,0,0)</f>
        <v>1316.8517994697693</v>
      </c>
      <c r="C300" s="4">
        <f>-IPMT('With Loan'!$D$41/12,'30% Down Amortization'!$A300,360,'With Loan'!$D$40,0,0)</f>
        <v>291.05311637724833</v>
      </c>
      <c r="D300" s="4">
        <f t="shared" si="9"/>
        <v>1607.9049158470175</v>
      </c>
      <c r="E300" s="3">
        <f t="shared" si="10"/>
        <v>91820.145441249988</v>
      </c>
    </row>
    <row r="301" spans="1:5" x14ac:dyDescent="0.25">
      <c r="A301">
        <v>298</v>
      </c>
      <c r="B301" s="4">
        <f>-PPMT('With Loan'!$D$41/12,'30% Down Amortization'!$A301,360,'With Loan'!$D$40,0,0)</f>
        <v>1320.9669613431122</v>
      </c>
      <c r="C301" s="4">
        <f>-IPMT('With Loan'!$D$41/12,'30% Down Amortization'!$A301,360,'With Loan'!$D$40,0,0)</f>
        <v>286.93795450390525</v>
      </c>
      <c r="D301" s="4">
        <f t="shared" si="9"/>
        <v>1607.9049158470175</v>
      </c>
      <c r="E301" s="3">
        <f t="shared" si="10"/>
        <v>90499.17847990687</v>
      </c>
    </row>
    <row r="302" spans="1:5" x14ac:dyDescent="0.25">
      <c r="A302">
        <v>299</v>
      </c>
      <c r="B302" s="4">
        <f>-PPMT('With Loan'!$D$41/12,'30% Down Amortization'!$A302,360,'With Loan'!$D$40,0,0)</f>
        <v>1325.0949830973095</v>
      </c>
      <c r="C302" s="4">
        <f>-IPMT('With Loan'!$D$41/12,'30% Down Amortization'!$A302,360,'With Loan'!$D$40,0,0)</f>
        <v>282.80993274970803</v>
      </c>
      <c r="D302" s="4">
        <f t="shared" si="9"/>
        <v>1607.9049158470175</v>
      </c>
      <c r="E302" s="3">
        <f t="shared" si="10"/>
        <v>89174.083496809559</v>
      </c>
    </row>
    <row r="303" spans="1:5" x14ac:dyDescent="0.25">
      <c r="A303">
        <v>300</v>
      </c>
      <c r="B303" s="4">
        <f>-PPMT('With Loan'!$D$41/12,'30% Down Amortization'!$A303,360,'With Loan'!$D$40,0,0)</f>
        <v>1329.2359049194886</v>
      </c>
      <c r="C303" s="4">
        <f>-IPMT('With Loan'!$D$41/12,'30% Down Amortization'!$A303,360,'With Loan'!$D$40,0,0)</f>
        <v>278.66901092752892</v>
      </c>
      <c r="D303" s="4">
        <f t="shared" si="9"/>
        <v>1607.9049158470175</v>
      </c>
      <c r="E303" s="3">
        <f t="shared" si="10"/>
        <v>87844.847591890066</v>
      </c>
    </row>
    <row r="304" spans="1:5" x14ac:dyDescent="0.25">
      <c r="A304">
        <v>301</v>
      </c>
      <c r="B304" s="4">
        <f>-PPMT('With Loan'!$D$41/12,'30% Down Amortization'!$A304,360,'With Loan'!$D$40,0,0)</f>
        <v>1333.3897671223619</v>
      </c>
      <c r="C304" s="4">
        <f>-IPMT('With Loan'!$D$41/12,'30% Down Amortization'!$A304,360,'With Loan'!$D$40,0,0)</f>
        <v>274.51514872465555</v>
      </c>
      <c r="D304" s="4">
        <f t="shared" si="9"/>
        <v>1607.9049158470175</v>
      </c>
      <c r="E304" s="3">
        <f t="shared" si="10"/>
        <v>86511.457824767698</v>
      </c>
    </row>
    <row r="305" spans="1:5" x14ac:dyDescent="0.25">
      <c r="A305">
        <v>302</v>
      </c>
      <c r="B305" s="4">
        <f>-PPMT('With Loan'!$D$41/12,'30% Down Amortization'!$A305,360,'With Loan'!$D$40,0,0)</f>
        <v>1337.5566101446193</v>
      </c>
      <c r="C305" s="4">
        <f>-IPMT('With Loan'!$D$41/12,'30% Down Amortization'!$A305,360,'With Loan'!$D$40,0,0)</f>
        <v>270.34830570239819</v>
      </c>
      <c r="D305" s="4">
        <f t="shared" si="9"/>
        <v>1607.9049158470175</v>
      </c>
      <c r="E305" s="3">
        <f t="shared" si="10"/>
        <v>85173.901214623082</v>
      </c>
    </row>
    <row r="306" spans="1:5" x14ac:dyDescent="0.25">
      <c r="A306">
        <v>303</v>
      </c>
      <c r="B306" s="4">
        <f>-PPMT('With Loan'!$D$41/12,'30% Down Amortization'!$A306,360,'With Loan'!$D$40,0,0)</f>
        <v>1341.7364745513214</v>
      </c>
      <c r="C306" s="4">
        <f>-IPMT('With Loan'!$D$41/12,'30% Down Amortization'!$A306,360,'With Loan'!$D$40,0,0)</f>
        <v>266.16844129569625</v>
      </c>
      <c r="D306" s="4">
        <f t="shared" si="9"/>
        <v>1607.9049158470177</v>
      </c>
      <c r="E306" s="3">
        <f t="shared" si="10"/>
        <v>83832.164740071763</v>
      </c>
    </row>
    <row r="307" spans="1:5" x14ac:dyDescent="0.25">
      <c r="A307">
        <v>304</v>
      </c>
      <c r="B307" s="4">
        <f>-PPMT('With Loan'!$D$41/12,'30% Down Amortization'!$A307,360,'With Loan'!$D$40,0,0)</f>
        <v>1345.9294010342942</v>
      </c>
      <c r="C307" s="4">
        <f>-IPMT('With Loan'!$D$41/12,'30% Down Amortization'!$A307,360,'With Loan'!$D$40,0,0)</f>
        <v>261.97551481272336</v>
      </c>
      <c r="D307" s="4">
        <f t="shared" si="9"/>
        <v>1607.9049158470175</v>
      </c>
      <c r="E307" s="3">
        <f t="shared" si="10"/>
        <v>82486.235339037463</v>
      </c>
    </row>
    <row r="308" spans="1:5" x14ac:dyDescent="0.25">
      <c r="A308">
        <v>305</v>
      </c>
      <c r="B308" s="4">
        <f>-PPMT('With Loan'!$D$41/12,'30% Down Amortization'!$A308,360,'With Loan'!$D$40,0,0)</f>
        <v>1350.1354304125264</v>
      </c>
      <c r="C308" s="4">
        <f>-IPMT('With Loan'!$D$41/12,'30% Down Amortization'!$A308,360,'With Loan'!$D$40,0,0)</f>
        <v>257.76948543449123</v>
      </c>
      <c r="D308" s="4">
        <f t="shared" si="9"/>
        <v>1607.9049158470175</v>
      </c>
      <c r="E308" s="3">
        <f t="shared" si="10"/>
        <v>81136.099908624936</v>
      </c>
    </row>
    <row r="309" spans="1:5" x14ac:dyDescent="0.25">
      <c r="A309">
        <v>306</v>
      </c>
      <c r="B309" s="4">
        <f>-PPMT('With Loan'!$D$41/12,'30% Down Amortization'!$A309,360,'With Loan'!$D$40,0,0)</f>
        <v>1354.3546036325654</v>
      </c>
      <c r="C309" s="4">
        <f>-IPMT('With Loan'!$D$41/12,'30% Down Amortization'!$A309,360,'With Loan'!$D$40,0,0)</f>
        <v>253.55031221445208</v>
      </c>
      <c r="D309" s="4">
        <f t="shared" si="9"/>
        <v>1607.9049158470175</v>
      </c>
      <c r="E309" s="3">
        <f t="shared" si="10"/>
        <v>79781.745304992364</v>
      </c>
    </row>
    <row r="310" spans="1:5" x14ac:dyDescent="0.25">
      <c r="A310">
        <v>307</v>
      </c>
      <c r="B310" s="4">
        <f>-PPMT('With Loan'!$D$41/12,'30% Down Amortization'!$A310,360,'With Loan'!$D$40,0,0)</f>
        <v>1358.5869617689173</v>
      </c>
      <c r="C310" s="4">
        <f>-IPMT('With Loan'!$D$41/12,'30% Down Amortization'!$A310,360,'With Loan'!$D$40,0,0)</f>
        <v>249.31795407810029</v>
      </c>
      <c r="D310" s="4">
        <f t="shared" si="9"/>
        <v>1607.9049158470175</v>
      </c>
      <c r="E310" s="3">
        <f t="shared" si="10"/>
        <v>78423.158343223447</v>
      </c>
    </row>
    <row r="311" spans="1:5" x14ac:dyDescent="0.25">
      <c r="A311">
        <v>308</v>
      </c>
      <c r="B311" s="4">
        <f>-PPMT('With Loan'!$D$41/12,'30% Down Amortization'!$A311,360,'With Loan'!$D$40,0,0)</f>
        <v>1362.832546024445</v>
      </c>
      <c r="C311" s="4">
        <f>-IPMT('With Loan'!$D$41/12,'30% Down Amortization'!$A311,360,'With Loan'!$D$40,0,0)</f>
        <v>245.0723698225724</v>
      </c>
      <c r="D311" s="4">
        <f t="shared" si="9"/>
        <v>1607.9049158470175</v>
      </c>
      <c r="E311" s="3">
        <f t="shared" si="10"/>
        <v>77060.32579719901</v>
      </c>
    </row>
    <row r="312" spans="1:5" x14ac:dyDescent="0.25">
      <c r="A312">
        <v>309</v>
      </c>
      <c r="B312" s="4">
        <f>-PPMT('With Loan'!$D$41/12,'30% Down Amortization'!$A312,360,'With Loan'!$D$40,0,0)</f>
        <v>1367.0913977307714</v>
      </c>
      <c r="C312" s="4">
        <f>-IPMT('With Loan'!$D$41/12,'30% Down Amortization'!$A312,360,'With Loan'!$D$40,0,0)</f>
        <v>240.81351811624603</v>
      </c>
      <c r="D312" s="4">
        <f t="shared" si="9"/>
        <v>1607.9049158470175</v>
      </c>
      <c r="E312" s="3">
        <f t="shared" si="10"/>
        <v>75693.234399468245</v>
      </c>
    </row>
    <row r="313" spans="1:5" x14ac:dyDescent="0.25">
      <c r="A313">
        <v>310</v>
      </c>
      <c r="B313" s="4">
        <f>-PPMT('With Loan'!$D$41/12,'30% Down Amortization'!$A313,360,'With Loan'!$D$40,0,0)</f>
        <v>1371.36355834868</v>
      </c>
      <c r="C313" s="4">
        <f>-IPMT('With Loan'!$D$41/12,'30% Down Amortization'!$A313,360,'With Loan'!$D$40,0,0)</f>
        <v>236.54135749833733</v>
      </c>
      <c r="D313" s="4">
        <f t="shared" si="9"/>
        <v>1607.9049158470175</v>
      </c>
      <c r="E313" s="3">
        <f t="shared" si="10"/>
        <v>74321.870841119569</v>
      </c>
    </row>
    <row r="314" spans="1:5" x14ac:dyDescent="0.25">
      <c r="A314">
        <v>311</v>
      </c>
      <c r="B314" s="4">
        <f>-PPMT('With Loan'!$D$41/12,'30% Down Amortization'!$A314,360,'With Loan'!$D$40,0,0)</f>
        <v>1375.6490694685197</v>
      </c>
      <c r="C314" s="4">
        <f>-IPMT('With Loan'!$D$41/12,'30% Down Amortization'!$A314,360,'With Loan'!$D$40,0,0)</f>
        <v>232.25584637849769</v>
      </c>
      <c r="D314" s="4">
        <f t="shared" si="9"/>
        <v>1607.9049158470173</v>
      </c>
      <c r="E314" s="3">
        <f t="shared" si="10"/>
        <v>72946.221771651049</v>
      </c>
    </row>
    <row r="315" spans="1:5" x14ac:dyDescent="0.25">
      <c r="A315">
        <v>312</v>
      </c>
      <c r="B315" s="4">
        <f>-PPMT('With Loan'!$D$41/12,'30% Down Amortization'!$A315,360,'With Loan'!$D$40,0,0)</f>
        <v>1379.9479728106087</v>
      </c>
      <c r="C315" s="4">
        <f>-IPMT('With Loan'!$D$41/12,'30% Down Amortization'!$A315,360,'With Loan'!$D$40,0,0)</f>
        <v>227.9569430364086</v>
      </c>
      <c r="D315" s="4">
        <f t="shared" si="9"/>
        <v>1607.9049158470173</v>
      </c>
      <c r="E315" s="3">
        <f t="shared" si="10"/>
        <v>71566.273798840441</v>
      </c>
    </row>
    <row r="316" spans="1:5" x14ac:dyDescent="0.25">
      <c r="A316">
        <v>313</v>
      </c>
      <c r="B316" s="4">
        <f>-PPMT('With Loan'!$D$41/12,'30% Down Amortization'!$A316,360,'With Loan'!$D$40,0,0)</f>
        <v>1384.2603102256421</v>
      </c>
      <c r="C316" s="4">
        <f>-IPMT('With Loan'!$D$41/12,'30% Down Amortization'!$A316,360,'With Loan'!$D$40,0,0)</f>
        <v>223.64460562137546</v>
      </c>
      <c r="D316" s="4">
        <f t="shared" si="9"/>
        <v>1607.9049158470175</v>
      </c>
      <c r="E316" s="3">
        <f t="shared" si="10"/>
        <v>70182.013488614801</v>
      </c>
    </row>
    <row r="317" spans="1:5" x14ac:dyDescent="0.25">
      <c r="A317">
        <v>314</v>
      </c>
      <c r="B317" s="4">
        <f>-PPMT('With Loan'!$D$41/12,'30% Down Amortization'!$A317,360,'With Loan'!$D$40,0,0)</f>
        <v>1388.5861236950971</v>
      </c>
      <c r="C317" s="4">
        <f>-IPMT('With Loan'!$D$41/12,'30% Down Amortization'!$A317,360,'With Loan'!$D$40,0,0)</f>
        <v>219.31879215192032</v>
      </c>
      <c r="D317" s="4">
        <f t="shared" si="9"/>
        <v>1607.9049158470175</v>
      </c>
      <c r="E317" s="3">
        <f t="shared" si="10"/>
        <v>68793.427364919698</v>
      </c>
    </row>
    <row r="318" spans="1:5" x14ac:dyDescent="0.25">
      <c r="A318">
        <v>315</v>
      </c>
      <c r="B318" s="4">
        <f>-PPMT('With Loan'!$D$41/12,'30% Down Amortization'!$A318,360,'With Loan'!$D$40,0,0)</f>
        <v>1392.9254553316443</v>
      </c>
      <c r="C318" s="4">
        <f>-IPMT('With Loan'!$D$41/12,'30% Down Amortization'!$A318,360,'With Loan'!$D$40,0,0)</f>
        <v>214.97946051537318</v>
      </c>
      <c r="D318" s="4">
        <f t="shared" si="9"/>
        <v>1607.9049158470175</v>
      </c>
      <c r="E318" s="3">
        <f t="shared" si="10"/>
        <v>67400.501909588056</v>
      </c>
    </row>
    <row r="319" spans="1:5" x14ac:dyDescent="0.25">
      <c r="A319">
        <v>316</v>
      </c>
      <c r="B319" s="4">
        <f>-PPMT('With Loan'!$D$41/12,'30% Down Amortization'!$A319,360,'With Loan'!$D$40,0,0)</f>
        <v>1397.2783473795557</v>
      </c>
      <c r="C319" s="4">
        <f>-IPMT('With Loan'!$D$41/12,'30% Down Amortization'!$A319,360,'With Loan'!$D$40,0,0)</f>
        <v>210.62656846746174</v>
      </c>
      <c r="D319" s="4">
        <f t="shared" si="9"/>
        <v>1607.9049158470175</v>
      </c>
      <c r="E319" s="3">
        <f t="shared" si="10"/>
        <v>66003.223562208499</v>
      </c>
    </row>
    <row r="320" spans="1:5" x14ac:dyDescent="0.25">
      <c r="A320">
        <v>317</v>
      </c>
      <c r="B320" s="4">
        <f>-PPMT('With Loan'!$D$41/12,'30% Down Amortization'!$A320,360,'With Loan'!$D$40,0,0)</f>
        <v>1401.6448422151168</v>
      </c>
      <c r="C320" s="4">
        <f>-IPMT('With Loan'!$D$41/12,'30% Down Amortization'!$A320,360,'With Loan'!$D$40,0,0)</f>
        <v>206.26007363190067</v>
      </c>
      <c r="D320" s="4">
        <f t="shared" si="9"/>
        <v>1607.9049158470175</v>
      </c>
      <c r="E320" s="3">
        <f t="shared" si="10"/>
        <v>64601.578719993384</v>
      </c>
    </row>
    <row r="321" spans="1:5" x14ac:dyDescent="0.25">
      <c r="A321">
        <v>318</v>
      </c>
      <c r="B321" s="4">
        <f>-PPMT('With Loan'!$D$41/12,'30% Down Amortization'!$A321,360,'With Loan'!$D$40,0,0)</f>
        <v>1406.0249823470392</v>
      </c>
      <c r="C321" s="4">
        <f>-IPMT('With Loan'!$D$41/12,'30% Down Amortization'!$A321,360,'With Loan'!$D$40,0,0)</f>
        <v>201.87993349997836</v>
      </c>
      <c r="D321" s="4">
        <f t="shared" si="9"/>
        <v>1607.9049158470175</v>
      </c>
      <c r="E321" s="3">
        <f t="shared" si="10"/>
        <v>63195.553737646347</v>
      </c>
    </row>
    <row r="322" spans="1:5" x14ac:dyDescent="0.25">
      <c r="A322">
        <v>319</v>
      </c>
      <c r="B322" s="4">
        <f>-PPMT('With Loan'!$D$41/12,'30% Down Amortization'!$A322,360,'With Loan'!$D$40,0,0)</f>
        <v>1410.4188104168734</v>
      </c>
      <c r="C322" s="4">
        <f>-IPMT('With Loan'!$D$41/12,'30% Down Amortization'!$A322,360,'With Loan'!$D$40,0,0)</f>
        <v>197.48610543014394</v>
      </c>
      <c r="D322" s="4">
        <f t="shared" si="9"/>
        <v>1607.9049158470173</v>
      </c>
      <c r="E322" s="3">
        <f t="shared" si="10"/>
        <v>61785.134927229476</v>
      </c>
    </row>
    <row r="323" spans="1:5" x14ac:dyDescent="0.25">
      <c r="A323">
        <v>320</v>
      </c>
      <c r="B323" s="4">
        <f>-PPMT('With Loan'!$D$41/12,'30% Down Amortization'!$A323,360,'With Loan'!$D$40,0,0)</f>
        <v>1414.8263691994262</v>
      </c>
      <c r="C323" s="4">
        <f>-IPMT('With Loan'!$D$41/12,'30% Down Amortization'!$A323,360,'With Loan'!$D$40,0,0)</f>
        <v>193.0785466475912</v>
      </c>
      <c r="D323" s="4">
        <f t="shared" si="9"/>
        <v>1607.9049158470173</v>
      </c>
      <c r="E323" s="3">
        <f t="shared" si="10"/>
        <v>60370.308558030047</v>
      </c>
    </row>
    <row r="324" spans="1:5" x14ac:dyDescent="0.25">
      <c r="A324">
        <v>321</v>
      </c>
      <c r="B324" s="4">
        <f>-PPMT('With Loan'!$D$41/12,'30% Down Amortization'!$A324,360,'With Loan'!$D$40,0,0)</f>
        <v>1419.2477016031744</v>
      </c>
      <c r="C324" s="4">
        <f>-IPMT('With Loan'!$D$41/12,'30% Down Amortization'!$A324,360,'With Loan'!$D$40,0,0)</f>
        <v>188.65721424384296</v>
      </c>
      <c r="D324" s="4">
        <f t="shared" si="9"/>
        <v>1607.9049158470173</v>
      </c>
      <c r="E324" s="3">
        <f t="shared" si="10"/>
        <v>58951.06085642687</v>
      </c>
    </row>
    <row r="325" spans="1:5" x14ac:dyDescent="0.25">
      <c r="A325">
        <v>322</v>
      </c>
      <c r="B325" s="4">
        <f>-PPMT('With Loan'!$D$41/12,'30% Down Amortization'!$A325,360,'With Loan'!$D$40,0,0)</f>
        <v>1423.6828506706843</v>
      </c>
      <c r="C325" s="4">
        <f>-IPMT('With Loan'!$D$41/12,'30% Down Amortization'!$A325,360,'With Loan'!$D$40,0,0)</f>
        <v>184.22206517633305</v>
      </c>
      <c r="D325" s="4">
        <f t="shared" ref="D325:D363" si="11">B325+C325</f>
        <v>1607.9049158470173</v>
      </c>
      <c r="E325" s="3">
        <f t="shared" si="10"/>
        <v>57527.378005756182</v>
      </c>
    </row>
    <row r="326" spans="1:5" x14ac:dyDescent="0.25">
      <c r="A326">
        <v>323</v>
      </c>
      <c r="B326" s="4">
        <f>-PPMT('With Loan'!$D$41/12,'30% Down Amortization'!$A326,360,'With Loan'!$D$40,0,0)</f>
        <v>1428.1318595790303</v>
      </c>
      <c r="C326" s="4">
        <f>-IPMT('With Loan'!$D$41/12,'30% Down Amortization'!$A326,360,'With Loan'!$D$40,0,0)</f>
        <v>179.77305626798713</v>
      </c>
      <c r="D326" s="4">
        <f t="shared" si="11"/>
        <v>1607.9049158470175</v>
      </c>
      <c r="E326" s="3">
        <f t="shared" si="10"/>
        <v>56099.246146177153</v>
      </c>
    </row>
    <row r="327" spans="1:5" x14ac:dyDescent="0.25">
      <c r="A327">
        <v>324</v>
      </c>
      <c r="B327" s="4">
        <f>-PPMT('With Loan'!$D$41/12,'30% Down Amortization'!$A327,360,'With Loan'!$D$40,0,0)</f>
        <v>1432.5947716402147</v>
      </c>
      <c r="C327" s="4">
        <f>-IPMT('With Loan'!$D$41/12,'30% Down Amortization'!$A327,360,'With Loan'!$D$40,0,0)</f>
        <v>175.31014420680268</v>
      </c>
      <c r="D327" s="4">
        <f t="shared" si="11"/>
        <v>1607.9049158470175</v>
      </c>
      <c r="E327" s="3">
        <f t="shared" si="10"/>
        <v>54666.651374536938</v>
      </c>
    </row>
    <row r="328" spans="1:5" x14ac:dyDescent="0.25">
      <c r="A328">
        <v>325</v>
      </c>
      <c r="B328" s="4">
        <f>-PPMT('With Loan'!$D$41/12,'30% Down Amortization'!$A328,360,'With Loan'!$D$40,0,0)</f>
        <v>1437.0716303015904</v>
      </c>
      <c r="C328" s="4">
        <f>-IPMT('With Loan'!$D$41/12,'30% Down Amortization'!$A328,360,'With Loan'!$D$40,0,0)</f>
        <v>170.83328554542703</v>
      </c>
      <c r="D328" s="4">
        <f t="shared" si="11"/>
        <v>1607.9049158470175</v>
      </c>
      <c r="E328" s="3">
        <f t="shared" si="10"/>
        <v>53229.579744235351</v>
      </c>
    </row>
    <row r="329" spans="1:5" x14ac:dyDescent="0.25">
      <c r="A329">
        <v>326</v>
      </c>
      <c r="B329" s="4">
        <f>-PPMT('With Loan'!$D$41/12,'30% Down Amortization'!$A329,360,'With Loan'!$D$40,0,0)</f>
        <v>1441.5624791462828</v>
      </c>
      <c r="C329" s="4">
        <f>-IPMT('With Loan'!$D$41/12,'30% Down Amortization'!$A329,360,'With Loan'!$D$40,0,0)</f>
        <v>166.34243670073454</v>
      </c>
      <c r="D329" s="4">
        <f t="shared" si="11"/>
        <v>1607.9049158470175</v>
      </c>
      <c r="E329" s="3">
        <f t="shared" si="10"/>
        <v>51788.017265089067</v>
      </c>
    </row>
    <row r="330" spans="1:5" x14ac:dyDescent="0.25">
      <c r="A330">
        <v>327</v>
      </c>
      <c r="B330" s="4">
        <f>-PPMT('With Loan'!$D$41/12,'30% Down Amortization'!$A330,360,'With Loan'!$D$40,0,0)</f>
        <v>1446.067361893615</v>
      </c>
      <c r="C330" s="4">
        <f>-IPMT('With Loan'!$D$41/12,'30% Down Amortization'!$A330,360,'With Loan'!$D$40,0,0)</f>
        <v>161.83755395340242</v>
      </c>
      <c r="D330" s="4">
        <f t="shared" si="11"/>
        <v>1607.9049158470175</v>
      </c>
      <c r="E330" s="3">
        <f t="shared" si="10"/>
        <v>50341.949903195455</v>
      </c>
    </row>
    <row r="331" spans="1:5" x14ac:dyDescent="0.25">
      <c r="A331">
        <v>328</v>
      </c>
      <c r="B331" s="4">
        <f>-PPMT('With Loan'!$D$41/12,'30% Down Amortization'!$A331,360,'With Loan'!$D$40,0,0)</f>
        <v>1450.5863223995325</v>
      </c>
      <c r="C331" s="4">
        <f>-IPMT('With Loan'!$D$41/12,'30% Down Amortization'!$A331,360,'With Loan'!$D$40,0,0)</f>
        <v>157.31859344748489</v>
      </c>
      <c r="D331" s="4">
        <f t="shared" si="11"/>
        <v>1607.9049158470175</v>
      </c>
      <c r="E331" s="3">
        <f t="shared" si="10"/>
        <v>48891.363580795922</v>
      </c>
    </row>
    <row r="332" spans="1:5" x14ac:dyDescent="0.25">
      <c r="A332">
        <v>329</v>
      </c>
      <c r="B332" s="4">
        <f>-PPMT('With Loan'!$D$41/12,'30% Down Amortization'!$A332,360,'With Loan'!$D$40,0,0)</f>
        <v>1455.1194046570313</v>
      </c>
      <c r="C332" s="4">
        <f>-IPMT('With Loan'!$D$41/12,'30% Down Amortization'!$A332,360,'With Loan'!$D$40,0,0)</f>
        <v>152.78551118998632</v>
      </c>
      <c r="D332" s="4">
        <f t="shared" si="11"/>
        <v>1607.9049158470175</v>
      </c>
      <c r="E332" s="3">
        <f t="shared" si="10"/>
        <v>47436.244176138891</v>
      </c>
    </row>
    <row r="333" spans="1:5" x14ac:dyDescent="0.25">
      <c r="A333">
        <v>330</v>
      </c>
      <c r="B333" s="4">
        <f>-PPMT('With Loan'!$D$41/12,'30% Down Amortization'!$A333,360,'With Loan'!$D$40,0,0)</f>
        <v>1459.6666527965842</v>
      </c>
      <c r="C333" s="4">
        <f>-IPMT('With Loan'!$D$41/12,'30% Down Amortization'!$A333,360,'With Loan'!$D$40,0,0)</f>
        <v>148.23826305043312</v>
      </c>
      <c r="D333" s="4">
        <f t="shared" si="11"/>
        <v>1607.9049158470173</v>
      </c>
      <c r="E333" s="3">
        <f t="shared" si="10"/>
        <v>45976.577523342305</v>
      </c>
    </row>
    <row r="334" spans="1:5" x14ac:dyDescent="0.25">
      <c r="A334">
        <v>331</v>
      </c>
      <c r="B334" s="4">
        <f>-PPMT('With Loan'!$D$41/12,'30% Down Amortization'!$A334,360,'With Loan'!$D$40,0,0)</f>
        <v>1464.2281110865736</v>
      </c>
      <c r="C334" s="4">
        <f>-IPMT('With Loan'!$D$41/12,'30% Down Amortization'!$A334,360,'With Loan'!$D$40,0,0)</f>
        <v>143.67680476044382</v>
      </c>
      <c r="D334" s="4">
        <f t="shared" si="11"/>
        <v>1607.9049158470175</v>
      </c>
      <c r="E334" s="3">
        <f t="shared" si="10"/>
        <v>44512.349412255731</v>
      </c>
    </row>
    <row r="335" spans="1:5" x14ac:dyDescent="0.25">
      <c r="A335">
        <v>332</v>
      </c>
      <c r="B335" s="4">
        <f>-PPMT('With Loan'!$D$41/12,'30% Down Amortization'!$A335,360,'With Loan'!$D$40,0,0)</f>
        <v>1468.8038239337191</v>
      </c>
      <c r="C335" s="4">
        <f>-IPMT('With Loan'!$D$41/12,'30% Down Amortization'!$A335,360,'With Loan'!$D$40,0,0)</f>
        <v>139.10109191329821</v>
      </c>
      <c r="D335" s="4">
        <f t="shared" si="11"/>
        <v>1607.9049158470173</v>
      </c>
      <c r="E335" s="3">
        <f t="shared" si="10"/>
        <v>43043.545588322013</v>
      </c>
    </row>
    <row r="336" spans="1:5" x14ac:dyDescent="0.25">
      <c r="A336">
        <v>333</v>
      </c>
      <c r="B336" s="4">
        <f>-PPMT('With Loan'!$D$41/12,'30% Down Amortization'!$A336,360,'With Loan'!$D$40,0,0)</f>
        <v>1473.3938358835121</v>
      </c>
      <c r="C336" s="4">
        <f>-IPMT('With Loan'!$D$41/12,'30% Down Amortization'!$A336,360,'With Loan'!$D$40,0,0)</f>
        <v>134.51107996350538</v>
      </c>
      <c r="D336" s="4">
        <f t="shared" si="11"/>
        <v>1607.9049158470175</v>
      </c>
      <c r="E336" s="3">
        <f t="shared" si="10"/>
        <v>41570.151752438498</v>
      </c>
    </row>
    <row r="337" spans="1:5" x14ac:dyDescent="0.25">
      <c r="A337">
        <v>334</v>
      </c>
      <c r="B337" s="4">
        <f>-PPMT('With Loan'!$D$41/12,'30% Down Amortization'!$A337,360,'With Loan'!$D$40,0,0)</f>
        <v>1477.998191620648</v>
      </c>
      <c r="C337" s="4">
        <f>-IPMT('With Loan'!$D$41/12,'30% Down Amortization'!$A337,360,'With Loan'!$D$40,0,0)</f>
        <v>129.90672422636942</v>
      </c>
      <c r="D337" s="4">
        <f t="shared" si="11"/>
        <v>1607.9049158470175</v>
      </c>
      <c r="E337" s="3">
        <f t="shared" si="10"/>
        <v>40092.153560817853</v>
      </c>
    </row>
    <row r="338" spans="1:5" x14ac:dyDescent="0.25">
      <c r="A338">
        <v>335</v>
      </c>
      <c r="B338" s="4">
        <f>-PPMT('With Loan'!$D$41/12,'30% Down Amortization'!$A338,360,'With Loan'!$D$40,0,0)</f>
        <v>1482.6169359694625</v>
      </c>
      <c r="C338" s="4">
        <f>-IPMT('With Loan'!$D$41/12,'30% Down Amortization'!$A338,360,'With Loan'!$D$40,0,0)</f>
        <v>125.28797987755487</v>
      </c>
      <c r="D338" s="4">
        <f t="shared" si="11"/>
        <v>1607.9049158470173</v>
      </c>
      <c r="E338" s="3">
        <f t="shared" si="10"/>
        <v>38609.536624848392</v>
      </c>
    </row>
    <row r="339" spans="1:5" x14ac:dyDescent="0.25">
      <c r="A339">
        <v>336</v>
      </c>
      <c r="B339" s="4">
        <f>-PPMT('With Loan'!$D$41/12,'30% Down Amortization'!$A339,360,'With Loan'!$D$40,0,0)</f>
        <v>1487.2501138943671</v>
      </c>
      <c r="C339" s="4">
        <f>-IPMT('With Loan'!$D$41/12,'30% Down Amortization'!$A339,360,'With Loan'!$D$40,0,0)</f>
        <v>120.65480195265027</v>
      </c>
      <c r="D339" s="4">
        <f t="shared" si="11"/>
        <v>1607.9049158470175</v>
      </c>
      <c r="E339" s="3">
        <f t="shared" si="10"/>
        <v>37122.286510954022</v>
      </c>
    </row>
    <row r="340" spans="1:5" x14ac:dyDescent="0.25">
      <c r="A340">
        <v>337</v>
      </c>
      <c r="B340" s="4">
        <f>-PPMT('With Loan'!$D$41/12,'30% Down Amortization'!$A340,360,'With Loan'!$D$40,0,0)</f>
        <v>1491.8977705002869</v>
      </c>
      <c r="C340" s="4">
        <f>-IPMT('With Loan'!$D$41/12,'30% Down Amortization'!$A340,360,'With Loan'!$D$40,0,0)</f>
        <v>116.0071453467304</v>
      </c>
      <c r="D340" s="4">
        <f t="shared" si="11"/>
        <v>1607.9049158470173</v>
      </c>
      <c r="E340" s="3">
        <f t="shared" si="10"/>
        <v>35630.388740453738</v>
      </c>
    </row>
    <row r="341" spans="1:5" x14ac:dyDescent="0.25">
      <c r="A341">
        <v>338</v>
      </c>
      <c r="B341" s="4">
        <f>-PPMT('With Loan'!$D$41/12,'30% Down Amortization'!$A341,360,'With Loan'!$D$40,0,0)</f>
        <v>1496.5599510331003</v>
      </c>
      <c r="C341" s="4">
        <f>-IPMT('With Loan'!$D$41/12,'30% Down Amortization'!$A341,360,'With Loan'!$D$40,0,0)</f>
        <v>111.34496481391702</v>
      </c>
      <c r="D341" s="4">
        <f t="shared" si="11"/>
        <v>1607.9049158470173</v>
      </c>
      <c r="E341" s="3">
        <f t="shared" si="10"/>
        <v>34133.828789420637</v>
      </c>
    </row>
    <row r="342" spans="1:5" x14ac:dyDescent="0.25">
      <c r="A342">
        <v>339</v>
      </c>
      <c r="B342" s="4">
        <f>-PPMT('With Loan'!$D$41/12,'30% Down Amortization'!$A342,360,'With Loan'!$D$40,0,0)</f>
        <v>1501.2367008800788</v>
      </c>
      <c r="C342" s="4">
        <f>-IPMT('With Loan'!$D$41/12,'30% Down Amortization'!$A342,360,'With Loan'!$D$40,0,0)</f>
        <v>106.66821496693858</v>
      </c>
      <c r="D342" s="4">
        <f t="shared" si="11"/>
        <v>1607.9049158470175</v>
      </c>
      <c r="E342" s="3">
        <f t="shared" si="10"/>
        <v>32632.592088540558</v>
      </c>
    </row>
    <row r="343" spans="1:5" x14ac:dyDescent="0.25">
      <c r="A343">
        <v>340</v>
      </c>
      <c r="B343" s="4">
        <f>-PPMT('With Loan'!$D$41/12,'30% Down Amortization'!$A343,360,'With Loan'!$D$40,0,0)</f>
        <v>1505.9280655703292</v>
      </c>
      <c r="C343" s="4">
        <f>-IPMT('With Loan'!$D$41/12,'30% Down Amortization'!$A343,360,'With Loan'!$D$40,0,0)</f>
        <v>101.97685027668832</v>
      </c>
      <c r="D343" s="4">
        <f t="shared" si="11"/>
        <v>1607.9049158470175</v>
      </c>
      <c r="E343" s="3">
        <f t="shared" si="10"/>
        <v>31126.664022970228</v>
      </c>
    </row>
    <row r="344" spans="1:5" x14ac:dyDescent="0.25">
      <c r="A344">
        <v>341</v>
      </c>
      <c r="B344" s="4">
        <f>-PPMT('With Loan'!$D$41/12,'30% Down Amortization'!$A344,360,'With Loan'!$D$40,0,0)</f>
        <v>1510.6340907752365</v>
      </c>
      <c r="C344" s="4">
        <f>-IPMT('With Loan'!$D$41/12,'30% Down Amortization'!$A344,360,'With Loan'!$D$40,0,0)</f>
        <v>97.270825071781047</v>
      </c>
      <c r="D344" s="4">
        <f t="shared" si="11"/>
        <v>1607.9049158470175</v>
      </c>
      <c r="E344" s="3">
        <f t="shared" si="10"/>
        <v>29616.029932194993</v>
      </c>
    </row>
    <row r="345" spans="1:5" x14ac:dyDescent="0.25">
      <c r="A345">
        <v>342</v>
      </c>
      <c r="B345" s="4">
        <f>-PPMT('With Loan'!$D$41/12,'30% Down Amortization'!$A345,360,'With Loan'!$D$40,0,0)</f>
        <v>1515.354822308909</v>
      </c>
      <c r="C345" s="4">
        <f>-IPMT('With Loan'!$D$41/12,'30% Down Amortization'!$A345,360,'With Loan'!$D$40,0,0)</f>
        <v>92.550093538108428</v>
      </c>
      <c r="D345" s="4">
        <f t="shared" si="11"/>
        <v>1607.9049158470175</v>
      </c>
      <c r="E345" s="3">
        <f t="shared" si="10"/>
        <v>28100.675109886084</v>
      </c>
    </row>
    <row r="346" spans="1:5" x14ac:dyDescent="0.25">
      <c r="A346">
        <v>343</v>
      </c>
      <c r="B346" s="4">
        <f>-PPMT('With Loan'!$D$41/12,'30% Down Amortization'!$A346,360,'With Loan'!$D$40,0,0)</f>
        <v>1520.0903061286244</v>
      </c>
      <c r="C346" s="4">
        <f>-IPMT('With Loan'!$D$41/12,'30% Down Amortization'!$A346,360,'With Loan'!$D$40,0,0)</f>
        <v>87.8146097183931</v>
      </c>
      <c r="D346" s="4">
        <f t="shared" si="11"/>
        <v>1607.9049158470175</v>
      </c>
      <c r="E346" s="3">
        <f t="shared" si="10"/>
        <v>26580.584803757461</v>
      </c>
    </row>
    <row r="347" spans="1:5" x14ac:dyDescent="0.25">
      <c r="A347">
        <v>344</v>
      </c>
      <c r="B347" s="4">
        <f>-PPMT('With Loan'!$D$41/12,'30% Down Amortization'!$A347,360,'With Loan'!$D$40,0,0)</f>
        <v>1524.8405883352764</v>
      </c>
      <c r="C347" s="4">
        <f>-IPMT('With Loan'!$D$41/12,'30% Down Amortization'!$A347,360,'With Loan'!$D$40,0,0)</f>
        <v>83.064327511741126</v>
      </c>
      <c r="D347" s="4">
        <f t="shared" si="11"/>
        <v>1607.9049158470175</v>
      </c>
      <c r="E347" s="3">
        <f t="shared" si="10"/>
        <v>25055.744215422186</v>
      </c>
    </row>
    <row r="348" spans="1:5" x14ac:dyDescent="0.25">
      <c r="A348">
        <v>345</v>
      </c>
      <c r="B348" s="4">
        <f>-PPMT('With Loan'!$D$41/12,'30% Down Amortization'!$A348,360,'With Loan'!$D$40,0,0)</f>
        <v>1529.6057151738239</v>
      </c>
      <c r="C348" s="4">
        <f>-IPMT('With Loan'!$D$41/12,'30% Down Amortization'!$A348,360,'With Loan'!$D$40,0,0)</f>
        <v>78.299200673193397</v>
      </c>
      <c r="D348" s="4">
        <f t="shared" si="11"/>
        <v>1607.9049158470173</v>
      </c>
      <c r="E348" s="3">
        <f t="shared" si="10"/>
        <v>23526.138500248362</v>
      </c>
    </row>
    <row r="349" spans="1:5" x14ac:dyDescent="0.25">
      <c r="A349">
        <v>346</v>
      </c>
      <c r="B349" s="4">
        <f>-PPMT('With Loan'!$D$41/12,'30% Down Amortization'!$A349,360,'With Loan'!$D$40,0,0)</f>
        <v>1534.3857330337421</v>
      </c>
      <c r="C349" s="4">
        <f>-IPMT('With Loan'!$D$41/12,'30% Down Amortization'!$A349,360,'With Loan'!$D$40,0,0)</f>
        <v>73.519182813275194</v>
      </c>
      <c r="D349" s="4">
        <f t="shared" si="11"/>
        <v>1607.9049158470173</v>
      </c>
      <c r="E349" s="3">
        <f t="shared" si="10"/>
        <v>21991.752767214621</v>
      </c>
    </row>
    <row r="350" spans="1:5" x14ac:dyDescent="0.25">
      <c r="A350">
        <v>347</v>
      </c>
      <c r="B350" s="4">
        <f>-PPMT('With Loan'!$D$41/12,'30% Down Amortization'!$A350,360,'With Loan'!$D$40,0,0)</f>
        <v>1539.1806884494727</v>
      </c>
      <c r="C350" s="4">
        <f>-IPMT('With Loan'!$D$41/12,'30% Down Amortization'!$A350,360,'With Loan'!$D$40,0,0)</f>
        <v>68.724227397544752</v>
      </c>
      <c r="D350" s="4">
        <f t="shared" si="11"/>
        <v>1607.9049158470175</v>
      </c>
      <c r="E350" s="3">
        <f t="shared" si="10"/>
        <v>20452.572078765148</v>
      </c>
    </row>
    <row r="351" spans="1:5" x14ac:dyDescent="0.25">
      <c r="A351">
        <v>348</v>
      </c>
      <c r="B351" s="4">
        <f>-PPMT('With Loan'!$D$41/12,'30% Down Amortization'!$A351,360,'With Loan'!$D$40,0,0)</f>
        <v>1543.9906281008773</v>
      </c>
      <c r="C351" s="4">
        <f>-IPMT('With Loan'!$D$41/12,'30% Down Amortization'!$A351,360,'With Loan'!$D$40,0,0)</f>
        <v>63.914287746140161</v>
      </c>
      <c r="D351" s="4">
        <f t="shared" si="11"/>
        <v>1607.9049158470175</v>
      </c>
      <c r="E351" s="3">
        <f t="shared" si="10"/>
        <v>18908.581450664271</v>
      </c>
    </row>
    <row r="352" spans="1:5" x14ac:dyDescent="0.25">
      <c r="A352">
        <v>349</v>
      </c>
      <c r="B352" s="4">
        <f>-PPMT('With Loan'!$D$41/12,'30% Down Amortization'!$A352,360,'With Loan'!$D$40,0,0)</f>
        <v>1548.8155988136925</v>
      </c>
      <c r="C352" s="4">
        <f>-IPMT('With Loan'!$D$41/12,'30% Down Amortization'!$A352,360,'With Loan'!$D$40,0,0)</f>
        <v>59.08931703332491</v>
      </c>
      <c r="D352" s="4">
        <f t="shared" si="11"/>
        <v>1607.9049158470175</v>
      </c>
      <c r="E352" s="3">
        <f t="shared" si="10"/>
        <v>17359.765851850578</v>
      </c>
    </row>
    <row r="353" spans="1:5" x14ac:dyDescent="0.25">
      <c r="A353">
        <v>350</v>
      </c>
      <c r="B353" s="4">
        <f>-PPMT('With Loan'!$D$41/12,'30% Down Amortization'!$A353,360,'With Loan'!$D$40,0,0)</f>
        <v>1553.6556475599853</v>
      </c>
      <c r="C353" s="4">
        <f>-IPMT('With Loan'!$D$41/12,'30% Down Amortization'!$A353,360,'With Loan'!$D$40,0,0)</f>
        <v>54.24926828703213</v>
      </c>
      <c r="D353" s="4">
        <f t="shared" si="11"/>
        <v>1607.9049158470175</v>
      </c>
      <c r="E353" s="3">
        <f t="shared" si="10"/>
        <v>15806.110204290593</v>
      </c>
    </row>
    <row r="354" spans="1:5" x14ac:dyDescent="0.25">
      <c r="A354">
        <v>351</v>
      </c>
      <c r="B354" s="4">
        <f>-PPMT('With Loan'!$D$41/12,'30% Down Amortization'!$A354,360,'With Loan'!$D$40,0,0)</f>
        <v>1558.5108214586103</v>
      </c>
      <c r="C354" s="4">
        <f>-IPMT('With Loan'!$D$41/12,'30% Down Amortization'!$A354,360,'With Loan'!$D$40,0,0)</f>
        <v>49.394094388407169</v>
      </c>
      <c r="D354" s="4">
        <f t="shared" si="11"/>
        <v>1607.9049158470175</v>
      </c>
      <c r="E354" s="3">
        <f t="shared" ref="E354:E363" si="12">E353-B354</f>
        <v>14247.599382831982</v>
      </c>
    </row>
    <row r="355" spans="1:5" x14ac:dyDescent="0.25">
      <c r="A355">
        <v>352</v>
      </c>
      <c r="B355" s="4">
        <f>-PPMT('With Loan'!$D$41/12,'30% Down Amortization'!$A355,360,'With Loan'!$D$40,0,0)</f>
        <v>1563.3811677756685</v>
      </c>
      <c r="C355" s="4">
        <f>-IPMT('With Loan'!$D$41/12,'30% Down Amortization'!$A355,360,'With Loan'!$D$40,0,0)</f>
        <v>44.523748071349011</v>
      </c>
      <c r="D355" s="4">
        <f t="shared" si="11"/>
        <v>1607.9049158470175</v>
      </c>
      <c r="E355" s="3">
        <f t="shared" si="12"/>
        <v>12684.218215056313</v>
      </c>
    </row>
    <row r="356" spans="1:5" x14ac:dyDescent="0.25">
      <c r="A356">
        <v>353</v>
      </c>
      <c r="B356" s="4">
        <f>-PPMT('With Loan'!$D$41/12,'30% Down Amortization'!$A356,360,'With Loan'!$D$40,0,0)</f>
        <v>1568.2667339249674</v>
      </c>
      <c r="C356" s="4">
        <f>-IPMT('With Loan'!$D$41/12,'30% Down Amortization'!$A356,360,'With Loan'!$D$40,0,0)</f>
        <v>39.638181922050052</v>
      </c>
      <c r="D356" s="4">
        <f t="shared" si="11"/>
        <v>1607.9049158470175</v>
      </c>
      <c r="E356" s="3">
        <f t="shared" si="12"/>
        <v>11115.951481131346</v>
      </c>
    </row>
    <row r="357" spans="1:5" x14ac:dyDescent="0.25">
      <c r="A357">
        <v>354</v>
      </c>
      <c r="B357" s="4">
        <f>-PPMT('With Loan'!$D$41/12,'30% Down Amortization'!$A357,360,'With Loan'!$D$40,0,0)</f>
        <v>1573.167567468483</v>
      </c>
      <c r="C357" s="4">
        <f>-IPMT('With Loan'!$D$41/12,'30% Down Amortization'!$A357,360,'With Loan'!$D$40,0,0)</f>
        <v>34.73734837853452</v>
      </c>
      <c r="D357" s="4">
        <f t="shared" si="11"/>
        <v>1607.9049158470175</v>
      </c>
      <c r="E357" s="3">
        <f t="shared" si="12"/>
        <v>9542.7839136628627</v>
      </c>
    </row>
    <row r="358" spans="1:5" x14ac:dyDescent="0.25">
      <c r="A358">
        <v>355</v>
      </c>
      <c r="B358" s="4">
        <f>-PPMT('With Loan'!$D$41/12,'30% Down Amortization'!$A358,360,'With Loan'!$D$40,0,0)</f>
        <v>1578.083716116822</v>
      </c>
      <c r="C358" s="4">
        <f>-IPMT('With Loan'!$D$41/12,'30% Down Amortization'!$A358,360,'With Loan'!$D$40,0,0)</f>
        <v>29.821199730195513</v>
      </c>
      <c r="D358" s="4">
        <f t="shared" si="11"/>
        <v>1607.9049158470175</v>
      </c>
      <c r="E358" s="3">
        <f t="shared" si="12"/>
        <v>7964.7001975460407</v>
      </c>
    </row>
    <row r="359" spans="1:5" x14ac:dyDescent="0.25">
      <c r="A359">
        <v>356</v>
      </c>
      <c r="B359" s="4">
        <f>-PPMT('With Loan'!$D$41/12,'30% Down Amortization'!$A359,360,'With Loan'!$D$40,0,0)</f>
        <v>1583.0152277296872</v>
      </c>
      <c r="C359" s="4">
        <f>-IPMT('With Loan'!$D$41/12,'30% Down Amortization'!$A359,360,'With Loan'!$D$40,0,0)</f>
        <v>24.889688117330447</v>
      </c>
      <c r="D359" s="4">
        <f t="shared" si="11"/>
        <v>1607.9049158470177</v>
      </c>
      <c r="E359" s="3">
        <f t="shared" si="12"/>
        <v>6381.6849698163533</v>
      </c>
    </row>
    <row r="360" spans="1:5" x14ac:dyDescent="0.25">
      <c r="A360">
        <v>357</v>
      </c>
      <c r="B360" s="4">
        <f>-PPMT('With Loan'!$D$41/12,'30% Down Amortization'!$A360,360,'With Loan'!$D$40,0,0)</f>
        <v>1587.9621503163423</v>
      </c>
      <c r="C360" s="4">
        <f>-IPMT('With Loan'!$D$41/12,'30% Down Amortization'!$A360,360,'With Loan'!$D$40,0,0)</f>
        <v>19.942765530675175</v>
      </c>
      <c r="D360" s="4">
        <f t="shared" si="11"/>
        <v>1607.9049158470175</v>
      </c>
      <c r="E360" s="3">
        <f t="shared" si="12"/>
        <v>4793.7228195000107</v>
      </c>
    </row>
    <row r="361" spans="1:5" x14ac:dyDescent="0.25">
      <c r="A361">
        <v>358</v>
      </c>
      <c r="B361" s="4">
        <f>-PPMT('With Loan'!$D$41/12,'30% Down Amortization'!$A361,360,'With Loan'!$D$40,0,0)</f>
        <v>1592.924532036081</v>
      </c>
      <c r="C361" s="4">
        <f>-IPMT('With Loan'!$D$41/12,'30% Down Amortization'!$A361,360,'With Loan'!$D$40,0,0)</f>
        <v>14.980383810936605</v>
      </c>
      <c r="D361" s="4">
        <f t="shared" si="11"/>
        <v>1607.9049158470177</v>
      </c>
      <c r="E361" s="3">
        <f t="shared" si="12"/>
        <v>3200.7982874639297</v>
      </c>
    </row>
    <row r="362" spans="1:5" x14ac:dyDescent="0.25">
      <c r="A362">
        <v>359</v>
      </c>
      <c r="B362" s="4">
        <f>-PPMT('With Loan'!$D$41/12,'30% Down Amortization'!$A362,360,'With Loan'!$D$40,0,0)</f>
        <v>1597.9024211986937</v>
      </c>
      <c r="C362" s="4">
        <f>-IPMT('With Loan'!$D$41/12,'30% Down Amortization'!$A362,360,'With Loan'!$D$40,0,0)</f>
        <v>10.002494648323852</v>
      </c>
      <c r="D362" s="4">
        <f t="shared" si="11"/>
        <v>1607.9049158470175</v>
      </c>
      <c r="E362" s="3">
        <f t="shared" si="12"/>
        <v>1602.895866265236</v>
      </c>
    </row>
    <row r="363" spans="1:5" x14ac:dyDescent="0.25">
      <c r="A363">
        <v>360</v>
      </c>
      <c r="B363" s="4">
        <f>-PPMT('With Loan'!$D$41/12,'30% Down Amortization'!$A363,360,'With Loan'!$D$40,0,0)</f>
        <v>1602.8958662649395</v>
      </c>
      <c r="C363" s="4">
        <f>-IPMT('With Loan'!$D$41/12,'30% Down Amortization'!$A363,360,'With Loan'!$D$40,0,0)</f>
        <v>5.0090495820779353</v>
      </c>
      <c r="D363" s="4">
        <f t="shared" si="11"/>
        <v>1607.9049158470175</v>
      </c>
      <c r="E363" s="3">
        <f t="shared" si="12"/>
        <v>2.9649527277797461E-10</v>
      </c>
    </row>
  </sheetData>
  <sheetProtection algorithmName="SHA-512" hashValue="eN2M69IgExmqdA6292O9JyWvXwiKhotCCTGe2CZcEW4tenJhwcGGXj+CMM/W23PNLANj/hW4hlyTDtXfjHQk8g==" saltValue="0U48QsPD6q3TBM1dMinshg==" spinCount="100000" sheet="1" objects="1" scenarios="1"/>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69DB59EED59A4B9D2A41DA9F049753" ma:contentTypeVersion="18" ma:contentTypeDescription="Create a new document." ma:contentTypeScope="" ma:versionID="427896d9fba3ae73bcfd0e1792e22175">
  <xsd:schema xmlns:xsd="http://www.w3.org/2001/XMLSchema" xmlns:xs="http://www.w3.org/2001/XMLSchema" xmlns:p="http://schemas.microsoft.com/office/2006/metadata/properties" xmlns:ns2="b9c8e6ef-adaa-44cf-b33b-1c02ae1fb283" xmlns:ns3="805d0126-7d6a-4874-a9c2-f0732c30a516" targetNamespace="http://schemas.microsoft.com/office/2006/metadata/properties" ma:root="true" ma:fieldsID="4dd0f8f1fce6ed585eb5a14541ba8547" ns2:_="" ns3:_="">
    <xsd:import namespace="b9c8e6ef-adaa-44cf-b33b-1c02ae1fb283"/>
    <xsd:import namespace="805d0126-7d6a-4874-a9c2-f0732c30a5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8e6ef-adaa-44cf-b33b-1c02ae1fb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a262b3-c911-4d7a-9ca6-09044c850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5d0126-7d6a-4874-a9c2-f0732c30a51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01e4632-65b1-419a-abf9-7aa14e6fdc28}" ma:internalName="TaxCatchAll" ma:showField="CatchAllData" ma:web="805d0126-7d6a-4874-a9c2-f0732c30a51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c8e6ef-adaa-44cf-b33b-1c02ae1fb283">
      <Terms xmlns="http://schemas.microsoft.com/office/infopath/2007/PartnerControls"/>
    </lcf76f155ced4ddcb4097134ff3c332f>
    <TaxCatchAll xmlns="805d0126-7d6a-4874-a9c2-f0732c30a516" xsi:nil="true"/>
  </documentManagement>
</p:properties>
</file>

<file path=customXml/itemProps1.xml><?xml version="1.0" encoding="utf-8"?>
<ds:datastoreItem xmlns:ds="http://schemas.openxmlformats.org/officeDocument/2006/customXml" ds:itemID="{9B2910A0-1CC7-418C-9428-8048FEFCA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8e6ef-adaa-44cf-b33b-1c02ae1fb283"/>
    <ds:schemaRef ds:uri="805d0126-7d6a-4874-a9c2-f0732c30a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53417-07D2-4AAC-920E-09C8248A92AC}">
  <ds:schemaRefs>
    <ds:schemaRef ds:uri="http://schemas.microsoft.com/sharepoint/v3/contenttype/forms"/>
  </ds:schemaRefs>
</ds:datastoreItem>
</file>

<file path=customXml/itemProps3.xml><?xml version="1.0" encoding="utf-8"?>
<ds:datastoreItem xmlns:ds="http://schemas.openxmlformats.org/officeDocument/2006/customXml" ds:itemID="{C132D972-31B8-466B-822A-61C798CAA031}">
  <ds:schemaRef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805d0126-7d6a-4874-a9c2-f0732c30a516"/>
    <ds:schemaRef ds:uri="http://www.w3.org/XML/1998/namespace"/>
    <ds:schemaRef ds:uri="http://schemas.microsoft.com/office/2006/documentManagement/types"/>
    <ds:schemaRef ds:uri="http://schemas.microsoft.com/office/infopath/2007/PartnerControls"/>
    <ds:schemaRef ds:uri="b9c8e6ef-adaa-44cf-b33b-1c02ae1fb2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Summary</vt:lpstr>
      <vt:lpstr>All Cash</vt:lpstr>
      <vt:lpstr>With Loan</vt:lpstr>
      <vt:lpstr>Owner Occupier</vt:lpstr>
      <vt:lpstr>Closing Costs</vt:lpstr>
      <vt:lpstr>FHA Amotization</vt:lpstr>
      <vt:lpstr>DAta</vt:lpstr>
      <vt:lpstr>30% Down Amortization</vt:lpstr>
      <vt:lpstr>'All Cash'!Print_Area</vt:lpstr>
      <vt:lpstr>'Owner Occupier'!Print_Area</vt:lpstr>
      <vt:lpstr>'With Loan'!Print_Area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Flanagin</dc:creator>
  <cp:keywords/>
  <dc:description/>
  <cp:lastModifiedBy>Martin Rico</cp:lastModifiedBy>
  <cp:revision/>
  <cp:lastPrinted>2025-02-27T20:16:05Z</cp:lastPrinted>
  <dcterms:created xsi:type="dcterms:W3CDTF">2025-02-11T03:30:30Z</dcterms:created>
  <dcterms:modified xsi:type="dcterms:W3CDTF">2025-02-27T22:19:09Z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0x010100F169DB59EED59A4B9D2A41DA9F049753</vt:lpwstr>
  </property>
  <property fmtid="{D5CDD505-2E9C-101B-9397-08002B2CF9AE}" pid="3" name="MediaServiceImageTags">
    <vt:lpwstr/>
  </property>
</Properties>
</file>