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rosehavenhomesusa.sharepoint.com/sites/SalesGroup/Shared Documents/Reports/Financial Calculator/Magnolia Village North/"/>
    </mc:Choice>
  </mc:AlternateContent>
  <xr:revisionPtr revIDLastSave="0" documentId="14_{C42474D4-FA76-41EA-82A1-E3182996170D}" xr6:coauthVersionLast="47" xr6:coauthVersionMax="47" xr10:uidLastSave="{00000000-0000-0000-0000-000000000000}"/>
  <bookViews>
    <workbookView xWindow="390" yWindow="390" windowWidth="22935" windowHeight="14175" tabRatio="654" xr2:uid="{6086E9DB-5E13-46D6-AE57-AADA5638DA8C}"/>
  </bookViews>
  <sheets>
    <sheet name="Summary" sheetId="12" r:id="rId1"/>
    <sheet name="All Cash" sheetId="8" r:id="rId2"/>
    <sheet name="With Loan" sheetId="6" r:id="rId3"/>
    <sheet name="Owner Occupier" sheetId="10" r:id="rId4"/>
    <sheet name="Closing Costs" sheetId="3" state="hidden" r:id="rId5"/>
    <sheet name="FHA Amotization" sheetId="11" state="hidden" r:id="rId6"/>
    <sheet name="DAta" sheetId="2" state="hidden" r:id="rId7"/>
    <sheet name="30% Down Amortization" sheetId="4" state="hidden" r:id="rId8"/>
  </sheets>
  <definedNames>
    <definedName name="_xlnm._FilterDatabase" localSheetId="7" hidden="1">'30% Down Amortization'!#REF!</definedName>
    <definedName name="_xlnm._FilterDatabase" localSheetId="5" hidden="1">'FHA Amotization'!#REF!</definedName>
    <definedName name="_xlnm.Print_Area" localSheetId="1">'All Cash'!$B$1:$I$59</definedName>
    <definedName name="_xlnm.Print_Area" localSheetId="3">'Owner Occupier'!$B$1:$I$60</definedName>
    <definedName name="_xlnm.Print_Area" localSheetId="2">'With Loan'!$B$1:$I$59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2" l="1"/>
  <c r="C35" i="6" l="1"/>
  <c r="H31" i="8"/>
  <c r="Q35" i="8" s="1"/>
  <c r="H30" i="10"/>
  <c r="Q35" i="10" s="1"/>
  <c r="E35" i="12"/>
  <c r="E36" i="12" s="1"/>
  <c r="D35" i="12"/>
  <c r="D36" i="12" s="1"/>
  <c r="C35" i="12"/>
  <c r="C33" i="12"/>
  <c r="D34" i="10"/>
  <c r="I41" i="10" s="1"/>
  <c r="H31" i="10"/>
  <c r="G32" i="10" s="1"/>
  <c r="H24" i="10"/>
  <c r="D55" i="10" s="1"/>
  <c r="E55" i="10" s="1"/>
  <c r="D41" i="10"/>
  <c r="C35" i="10"/>
  <c r="D24" i="10"/>
  <c r="H32" i="6"/>
  <c r="G33" i="6" s="1"/>
  <c r="H31" i="6"/>
  <c r="H24" i="6"/>
  <c r="H25" i="6" s="1"/>
  <c r="D41" i="6"/>
  <c r="D34" i="6"/>
  <c r="D46" i="6" s="1"/>
  <c r="H32" i="8"/>
  <c r="H24" i="8"/>
  <c r="I24" i="8" s="1"/>
  <c r="D34" i="8"/>
  <c r="I47" i="8" s="1"/>
  <c r="D51" i="10"/>
  <c r="E51" i="10" s="1"/>
  <c r="E48" i="10"/>
  <c r="D42" i="8"/>
  <c r="E42" i="8" s="1"/>
  <c r="E41" i="8"/>
  <c r="Y17" i="6" l="1"/>
  <c r="Y35" i="6"/>
  <c r="Y33" i="6"/>
  <c r="Y16" i="6"/>
  <c r="Y7" i="6"/>
  <c r="Y18" i="6"/>
  <c r="Y34" i="6"/>
  <c r="Y32" i="6"/>
  <c r="Y15" i="6"/>
  <c r="Y23" i="6"/>
  <c r="Y31" i="6"/>
  <c r="Y14" i="6"/>
  <c r="Y24" i="6"/>
  <c r="Y22" i="6"/>
  <c r="Y19" i="6"/>
  <c r="Y30" i="6"/>
  <c r="Y13" i="6"/>
  <c r="Y29" i="6"/>
  <c r="Y12" i="6"/>
  <c r="Y20" i="6"/>
  <c r="Y28" i="6"/>
  <c r="Y10" i="6"/>
  <c r="Y26" i="6"/>
  <c r="Y9" i="6"/>
  <c r="Y36" i="6"/>
  <c r="Y11" i="6"/>
  <c r="Y27" i="6"/>
  <c r="Y25" i="6"/>
  <c r="Y8" i="6"/>
  <c r="D53" i="10"/>
  <c r="E53" i="10" s="1"/>
  <c r="D46" i="10"/>
  <c r="E46" i="10" s="1"/>
  <c r="Z23" i="6"/>
  <c r="Z24" i="6"/>
  <c r="Z25" i="6"/>
  <c r="Z35" i="6"/>
  <c r="Z26" i="6"/>
  <c r="Z27" i="6"/>
  <c r="Z28" i="6"/>
  <c r="Z29" i="6"/>
  <c r="Z30" i="6"/>
  <c r="Z31" i="6"/>
  <c r="Z22" i="6"/>
  <c r="Z32" i="6"/>
  <c r="Z33" i="6"/>
  <c r="Z34" i="6"/>
  <c r="Z36" i="6"/>
  <c r="Z31" i="8"/>
  <c r="Z30" i="8"/>
  <c r="Z29" i="8"/>
  <c r="Z28" i="8"/>
  <c r="Z27" i="8"/>
  <c r="Z26" i="8"/>
  <c r="Z22" i="8"/>
  <c r="Y7" i="8"/>
  <c r="Y36" i="8"/>
  <c r="Y35" i="8"/>
  <c r="Y26" i="8"/>
  <c r="Y25" i="8"/>
  <c r="Y23" i="8"/>
  <c r="Y15" i="8"/>
  <c r="Y24" i="8"/>
  <c r="Y22" i="8"/>
  <c r="Y17" i="8"/>
  <c r="Y14" i="8"/>
  <c r="Y16" i="8"/>
  <c r="Z32" i="8"/>
  <c r="Y13" i="8"/>
  <c r="Y34" i="8"/>
  <c r="Y33" i="8"/>
  <c r="Y28" i="8"/>
  <c r="Y27" i="8"/>
  <c r="Y19" i="8"/>
  <c r="Z25" i="8"/>
  <c r="Y20" i="8"/>
  <c r="Z24" i="8"/>
  <c r="Z23" i="8"/>
  <c r="Y18" i="8"/>
  <c r="Y12" i="8"/>
  <c r="Z36" i="8"/>
  <c r="Y32" i="8"/>
  <c r="Y11" i="8"/>
  <c r="Z35" i="8"/>
  <c r="Y31" i="8"/>
  <c r="Y10" i="8"/>
  <c r="Z34" i="8"/>
  <c r="Y30" i="8"/>
  <c r="Y9" i="8"/>
  <c r="Z33" i="8"/>
  <c r="Y29" i="8"/>
  <c r="Y8" i="8"/>
  <c r="G33" i="8"/>
  <c r="D40" i="8"/>
  <c r="E40" i="8" s="1"/>
  <c r="Q17" i="10"/>
  <c r="Q14" i="10"/>
  <c r="Q15" i="10"/>
  <c r="Q32" i="10"/>
  <c r="R16" i="10"/>
  <c r="R8" i="10"/>
  <c r="Q36" i="8"/>
  <c r="R32" i="10"/>
  <c r="D35" i="8"/>
  <c r="D38" i="8" s="1"/>
  <c r="D24" i="8"/>
  <c r="R36" i="8" s="1"/>
  <c r="Q36" i="10"/>
  <c r="Q10" i="10"/>
  <c r="C36" i="12"/>
  <c r="H33" i="8"/>
  <c r="Q16" i="10"/>
  <c r="Q33" i="10"/>
  <c r="Q7" i="8"/>
  <c r="Q18" i="10"/>
  <c r="Q11" i="8"/>
  <c r="Q19" i="10"/>
  <c r="Q15" i="8"/>
  <c r="Q20" i="10"/>
  <c r="Q21" i="8"/>
  <c r="Q7" i="10"/>
  <c r="Q22" i="10"/>
  <c r="Q22" i="8"/>
  <c r="Q8" i="10"/>
  <c r="Q23" i="10"/>
  <c r="Q19" i="8"/>
  <c r="Q21" i="10"/>
  <c r="Q23" i="8"/>
  <c r="Q9" i="10"/>
  <c r="Q24" i="10"/>
  <c r="Q30" i="8"/>
  <c r="Q12" i="10"/>
  <c r="Q26" i="10"/>
  <c r="Q26" i="8"/>
  <c r="Q11" i="10"/>
  <c r="Q25" i="10"/>
  <c r="Q34" i="8"/>
  <c r="Q13" i="10"/>
  <c r="Q28" i="10"/>
  <c r="D35" i="10"/>
  <c r="H32" i="10"/>
  <c r="E22" i="12" s="1"/>
  <c r="Q27" i="10"/>
  <c r="Q29" i="10"/>
  <c r="Q30" i="10"/>
  <c r="Q31" i="10"/>
  <c r="Q34" i="10"/>
  <c r="R34" i="10"/>
  <c r="Q24" i="8"/>
  <c r="Q9" i="8"/>
  <c r="Q8" i="8"/>
  <c r="Q10" i="8"/>
  <c r="Q25" i="8"/>
  <c r="Q12" i="8"/>
  <c r="Q27" i="8"/>
  <c r="Q13" i="8"/>
  <c r="Q28" i="8"/>
  <c r="Q14" i="8"/>
  <c r="Q29" i="8"/>
  <c r="Q16" i="8"/>
  <c r="Q17" i="8"/>
  <c r="Q32" i="8"/>
  <c r="Q31" i="8"/>
  <c r="Q18" i="8"/>
  <c r="Q33" i="8"/>
  <c r="Q20" i="8"/>
  <c r="H25" i="8"/>
  <c r="R29" i="10"/>
  <c r="R14" i="10"/>
  <c r="R31" i="10"/>
  <c r="R10" i="10"/>
  <c r="R26" i="10"/>
  <c r="R36" i="10"/>
  <c r="R22" i="10"/>
  <c r="R20" i="10"/>
  <c r="R18" i="10"/>
  <c r="R12" i="10"/>
  <c r="D54" i="10"/>
  <c r="R35" i="10"/>
  <c r="R7" i="10"/>
  <c r="R11" i="10"/>
  <c r="R15" i="10"/>
  <c r="R19" i="10"/>
  <c r="R23" i="10"/>
  <c r="R30" i="10"/>
  <c r="I24" i="10"/>
  <c r="R33" i="10"/>
  <c r="R28" i="10"/>
  <c r="R9" i="10"/>
  <c r="R13" i="10"/>
  <c r="R17" i="10"/>
  <c r="R21" i="10"/>
  <c r="R25" i="10"/>
  <c r="R27" i="10"/>
  <c r="R24" i="10"/>
  <c r="I48"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R35" i="8" l="1"/>
  <c r="H36" i="8"/>
  <c r="C22" i="12"/>
  <c r="R26" i="8"/>
  <c r="X6" i="8"/>
  <c r="Z6" i="8" s="1"/>
  <c r="D46" i="8"/>
  <c r="E46" i="8" s="1"/>
  <c r="D44" i="8"/>
  <c r="E44" i="8" s="1"/>
  <c r="R19" i="8"/>
  <c r="R17" i="8"/>
  <c r="R15" i="8"/>
  <c r="R28" i="8"/>
  <c r="R31" i="8"/>
  <c r="R21" i="8"/>
  <c r="R24" i="8"/>
  <c r="R16" i="8"/>
  <c r="R14" i="8"/>
  <c r="R12" i="8"/>
  <c r="R10" i="8"/>
  <c r="R8" i="8"/>
  <c r="R29" i="8"/>
  <c r="R34" i="8"/>
  <c r="R32" i="8"/>
  <c r="R27" i="8"/>
  <c r="R30" i="8"/>
  <c r="R23" i="8"/>
  <c r="D30" i="10"/>
  <c r="D45" i="8"/>
  <c r="E45" i="8" s="1"/>
  <c r="R11" i="8"/>
  <c r="R7" i="8"/>
  <c r="T25" i="8" s="1"/>
  <c r="R33" i="8"/>
  <c r="R25" i="8"/>
  <c r="R22" i="8"/>
  <c r="R13" i="8"/>
  <c r="R20" i="8"/>
  <c r="R9" i="8"/>
  <c r="R18" i="8"/>
  <c r="I25" i="8"/>
  <c r="H36" i="10"/>
  <c r="D40" i="10"/>
  <c r="E54" i="10"/>
  <c r="D52" i="10"/>
  <c r="T24" i="10"/>
  <c r="T22" i="10"/>
  <c r="T20" i="10"/>
  <c r="T18" i="10"/>
  <c r="T16" i="10"/>
  <c r="T14" i="10"/>
  <c r="T12" i="10"/>
  <c r="T10" i="10"/>
  <c r="T8" i="10"/>
  <c r="T29" i="10"/>
  <c r="T34" i="10"/>
  <c r="T21" i="10"/>
  <c r="T17" i="10"/>
  <c r="T11" i="10"/>
  <c r="T28" i="10"/>
  <c r="T32" i="10"/>
  <c r="T27" i="10"/>
  <c r="T23" i="10"/>
  <c r="T15" i="10"/>
  <c r="T7" i="10"/>
  <c r="T35" i="10"/>
  <c r="T33" i="10"/>
  <c r="T25" i="10"/>
  <c r="T30" i="10"/>
  <c r="T19" i="10"/>
  <c r="T13" i="10"/>
  <c r="T9" i="10"/>
  <c r="T26" i="10"/>
  <c r="T31" i="10"/>
  <c r="T36" i="10"/>
  <c r="D25" i="10"/>
  <c r="P26" i="8"/>
  <c r="P31" i="8"/>
  <c r="P24" i="8"/>
  <c r="P22" i="8"/>
  <c r="P20" i="8"/>
  <c r="P18" i="8"/>
  <c r="P16" i="8"/>
  <c r="P14" i="8"/>
  <c r="P12" i="8"/>
  <c r="P10" i="8"/>
  <c r="P8" i="8"/>
  <c r="P29" i="8"/>
  <c r="P34" i="8"/>
  <c r="P32" i="8"/>
  <c r="D26" i="8"/>
  <c r="C19" i="12" s="1"/>
  <c r="P25" i="8"/>
  <c r="P35" i="8"/>
  <c r="P28" i="8"/>
  <c r="P33" i="8"/>
  <c r="P30" i="8"/>
  <c r="P23" i="8"/>
  <c r="P21" i="8"/>
  <c r="P19" i="8"/>
  <c r="P17" i="8"/>
  <c r="P15" i="8"/>
  <c r="P13" i="8"/>
  <c r="P11" i="8"/>
  <c r="P9" i="8"/>
  <c r="P7" i="8"/>
  <c r="P36" i="8"/>
  <c r="P27" i="8"/>
  <c r="D50" i="6"/>
  <c r="E50" i="6" s="1"/>
  <c r="I24" i="6"/>
  <c r="E47" i="6"/>
  <c r="C19" i="3" s="1"/>
  <c r="A8" i="3"/>
  <c r="C6" i="3"/>
  <c r="C16" i="3" s="1"/>
  <c r="E52" i="10" l="1"/>
  <c r="D52" i="6"/>
  <c r="E52" i="6" s="1"/>
  <c r="D25" i="8"/>
  <c r="C18" i="12" s="1"/>
  <c r="T26" i="8"/>
  <c r="V26" i="8" s="1"/>
  <c r="T33" i="8"/>
  <c r="V33" i="8" s="1"/>
  <c r="T7" i="8"/>
  <c r="V7" i="8" s="1"/>
  <c r="T9" i="8"/>
  <c r="V9" i="8" s="1"/>
  <c r="T23" i="8"/>
  <c r="V23" i="8" s="1"/>
  <c r="T28" i="8"/>
  <c r="V28" i="8" s="1"/>
  <c r="T32" i="8"/>
  <c r="V32" i="8" s="1"/>
  <c r="T29" i="8"/>
  <c r="V29" i="8" s="1"/>
  <c r="V17" i="10"/>
  <c r="V27" i="10"/>
  <c r="V28" i="10"/>
  <c r="V11" i="10"/>
  <c r="V21" i="10"/>
  <c r="V31" i="10"/>
  <c r="V14" i="10"/>
  <c r="V18" i="10"/>
  <c r="V20" i="10"/>
  <c r="V24" i="10"/>
  <c r="V23" i="10"/>
  <c r="V36" i="10"/>
  <c r="V26" i="10"/>
  <c r="V9" i="10"/>
  <c r="V13" i="10"/>
  <c r="V19" i="10"/>
  <c r="V30" i="10"/>
  <c r="V22" i="10"/>
  <c r="V7" i="10"/>
  <c r="V32" i="10"/>
  <c r="V34" i="10"/>
  <c r="V29" i="10"/>
  <c r="V8" i="10"/>
  <c r="V10" i="10"/>
  <c r="V12" i="10"/>
  <c r="V16" i="10"/>
  <c r="V25" i="10"/>
  <c r="V33" i="10"/>
  <c r="V35" i="10"/>
  <c r="V15" i="10"/>
  <c r="V25" i="8"/>
  <c r="T10" i="8"/>
  <c r="V10" i="8" s="1"/>
  <c r="T35" i="8"/>
  <c r="V35" i="8" s="1"/>
  <c r="T27" i="8"/>
  <c r="V27" i="8" s="1"/>
  <c r="T8" i="8"/>
  <c r="V8" i="8" s="1"/>
  <c r="T24" i="8"/>
  <c r="V24" i="8" s="1"/>
  <c r="T34" i="8"/>
  <c r="V34" i="8" s="1"/>
  <c r="D43" i="8"/>
  <c r="T13" i="8"/>
  <c r="V13" i="8" s="1"/>
  <c r="T14" i="8"/>
  <c r="V14" i="8" s="1"/>
  <c r="T12" i="8"/>
  <c r="V12" i="8" s="1"/>
  <c r="T15" i="8"/>
  <c r="V15" i="8" s="1"/>
  <c r="T17" i="8"/>
  <c r="V17" i="8" s="1"/>
  <c r="T18" i="8"/>
  <c r="V18" i="8" s="1"/>
  <c r="T11" i="8"/>
  <c r="V11" i="8" s="1"/>
  <c r="T19" i="8"/>
  <c r="V19" i="8" s="1"/>
  <c r="T20" i="8"/>
  <c r="V20" i="8" s="1"/>
  <c r="T16" i="8"/>
  <c r="V16" i="8" s="1"/>
  <c r="T21" i="8"/>
  <c r="V21" i="8" s="1"/>
  <c r="Y21" i="8" s="1"/>
  <c r="T22" i="8"/>
  <c r="V22" i="8" s="1"/>
  <c r="T30" i="8"/>
  <c r="V30" i="8" s="1"/>
  <c r="T36" i="8"/>
  <c r="V36" i="8" s="1"/>
  <c r="T31" i="8"/>
  <c r="V31" i="8" s="1"/>
  <c r="E18" i="12"/>
  <c r="B25" i="11"/>
  <c r="B145" i="11"/>
  <c r="C146" i="11"/>
  <c r="B201" i="11"/>
  <c r="B213" i="11"/>
  <c r="B214" i="11"/>
  <c r="C214" i="11"/>
  <c r="B265" i="11"/>
  <c r="C314" i="11"/>
  <c r="B127" i="11"/>
  <c r="C127" i="11"/>
  <c r="C128" i="11"/>
  <c r="B129" i="11"/>
  <c r="C105" i="11"/>
  <c r="C28" i="11"/>
  <c r="C339" i="11"/>
  <c r="B323" i="11"/>
  <c r="B306" i="11"/>
  <c r="C245" i="11"/>
  <c r="C227" i="11"/>
  <c r="C205" i="11"/>
  <c r="B187" i="11"/>
  <c r="B164" i="11"/>
  <c r="C46" i="11"/>
  <c r="B106" i="11"/>
  <c r="C156" i="11"/>
  <c r="C25" i="11"/>
  <c r="C164" i="11"/>
  <c r="C251" i="11"/>
  <c r="C24" i="11"/>
  <c r="C168" i="11"/>
  <c r="C288" i="11"/>
  <c r="C66" i="11"/>
  <c r="C261" i="11"/>
  <c r="C35" i="11"/>
  <c r="B18" i="11"/>
  <c r="B48" i="11"/>
  <c r="B179" i="11"/>
  <c r="B40" i="11"/>
  <c r="B200" i="11"/>
  <c r="B360" i="11"/>
  <c r="C170" i="11"/>
  <c r="C340" i="11"/>
  <c r="B11" i="11"/>
  <c r="B112" i="11"/>
  <c r="B272" i="11"/>
  <c r="C62" i="11"/>
  <c r="C222" i="11"/>
  <c r="B23" i="11"/>
  <c r="C93" i="11"/>
  <c r="C253" i="11"/>
  <c r="C298" i="11"/>
  <c r="C77" i="11"/>
  <c r="S10" i="10"/>
  <c r="B284" i="11"/>
  <c r="C15" i="11"/>
  <c r="C111" i="11"/>
  <c r="B10" i="11"/>
  <c r="B161" i="11"/>
  <c r="C63" i="11"/>
  <c r="B69" i="11"/>
  <c r="C161" i="11"/>
  <c r="C277" i="11"/>
  <c r="B20" i="11"/>
  <c r="C202" i="11"/>
  <c r="B103" i="11"/>
  <c r="B216" i="11"/>
  <c r="B350" i="11"/>
  <c r="C256" i="11"/>
  <c r="C147" i="11"/>
  <c r="B148" i="11"/>
  <c r="C148" i="11"/>
  <c r="B149" i="11"/>
  <c r="C129" i="11"/>
  <c r="B8" i="11"/>
  <c r="B359" i="11"/>
  <c r="B341" i="11"/>
  <c r="B324" i="11"/>
  <c r="C267" i="11"/>
  <c r="C247" i="11"/>
  <c r="B228" i="11"/>
  <c r="C209" i="11"/>
  <c r="B211" i="11"/>
  <c r="B311" i="11"/>
  <c r="B235" i="11"/>
  <c r="C91" i="11"/>
  <c r="B237" i="11"/>
  <c r="B94" i="11"/>
  <c r="B238" i="11"/>
  <c r="C7" i="11"/>
  <c r="C155" i="11"/>
  <c r="B276" i="11"/>
  <c r="C49" i="11"/>
  <c r="B248" i="11"/>
  <c r="C18" i="11"/>
  <c r="C259" i="11"/>
  <c r="C34" i="11"/>
  <c r="B166" i="11"/>
  <c r="B50" i="11"/>
  <c r="B210" i="11"/>
  <c r="C10" i="11"/>
  <c r="C180" i="11"/>
  <c r="C350" i="11"/>
  <c r="B71" i="11"/>
  <c r="B122" i="11"/>
  <c r="B282" i="11"/>
  <c r="C72" i="11"/>
  <c r="C232" i="11"/>
  <c r="B33" i="11"/>
  <c r="C103" i="11"/>
  <c r="C263" i="11"/>
  <c r="B286" i="11"/>
  <c r="B64" i="11"/>
  <c r="S12" i="10"/>
  <c r="C266" i="11"/>
  <c r="B185" i="11"/>
  <c r="C116" i="11"/>
  <c r="C89" i="11"/>
  <c r="C117" i="11"/>
  <c r="B44" i="11"/>
  <c r="C291" i="11"/>
  <c r="B209" i="11"/>
  <c r="C95" i="11"/>
  <c r="C140" i="11"/>
  <c r="B242" i="11"/>
  <c r="S17" i="10"/>
  <c r="C76" i="11"/>
  <c r="B288" i="11"/>
  <c r="C42" i="11"/>
  <c r="B105" i="11"/>
  <c r="B143" i="11"/>
  <c r="C81" i="11"/>
  <c r="C270" i="11"/>
  <c r="B256" i="11"/>
  <c r="C274" i="11"/>
  <c r="C174" i="11"/>
  <c r="B175" i="11"/>
  <c r="C175" i="11"/>
  <c r="B176" i="11"/>
  <c r="B156" i="11"/>
  <c r="B29" i="11"/>
  <c r="C8" i="11"/>
  <c r="C359" i="11"/>
  <c r="C344" i="11"/>
  <c r="C285" i="11"/>
  <c r="B268" i="11"/>
  <c r="C249" i="11"/>
  <c r="C228" i="11"/>
  <c r="B229" i="11"/>
  <c r="C121" i="11"/>
  <c r="C101" i="11"/>
  <c r="C131" i="11"/>
  <c r="B174" i="11"/>
  <c r="B334" i="11"/>
  <c r="C225" i="11"/>
  <c r="C356" i="11"/>
  <c r="C139" i="11"/>
  <c r="B263" i="11"/>
  <c r="B36" i="11"/>
  <c r="C235" i="11"/>
  <c r="B5" i="11"/>
  <c r="B247" i="11"/>
  <c r="C17" i="11"/>
  <c r="C151" i="11"/>
  <c r="B60" i="11"/>
  <c r="B220" i="11"/>
  <c r="C20" i="11"/>
  <c r="C190" i="11"/>
  <c r="C360" i="11"/>
  <c r="B111" i="11"/>
  <c r="B132" i="11"/>
  <c r="B292" i="11"/>
  <c r="C82" i="11"/>
  <c r="C242" i="11"/>
  <c r="B43" i="11"/>
  <c r="C113" i="11"/>
  <c r="C273" i="11"/>
  <c r="B273" i="11"/>
  <c r="B47" i="11"/>
  <c r="S14" i="10"/>
  <c r="B56" i="11"/>
  <c r="B77" i="11"/>
  <c r="B277" i="11"/>
  <c r="C48" i="11"/>
  <c r="B252" i="11"/>
  <c r="B227" i="11"/>
  <c r="C265" i="11"/>
  <c r="B65" i="11"/>
  <c r="C243" i="11"/>
  <c r="B215" i="11"/>
  <c r="C271" i="11"/>
  <c r="B197" i="11"/>
  <c r="C197" i="11"/>
  <c r="C198" i="11"/>
  <c r="B199" i="11"/>
  <c r="C176" i="11"/>
  <c r="C57" i="11"/>
  <c r="C29" i="11"/>
  <c r="B9" i="11"/>
  <c r="B361" i="11"/>
  <c r="C306" i="11"/>
  <c r="B287" i="11"/>
  <c r="C268" i="11"/>
  <c r="B251" i="11"/>
  <c r="B253" i="11"/>
  <c r="C45" i="11"/>
  <c r="B348" i="11"/>
  <c r="B46" i="11"/>
  <c r="C348" i="11"/>
  <c r="B333" i="11"/>
  <c r="C211" i="11"/>
  <c r="B344" i="11"/>
  <c r="C126" i="11"/>
  <c r="C248" i="11"/>
  <c r="B19" i="11"/>
  <c r="C221" i="11"/>
  <c r="C207" i="11"/>
  <c r="C234" i="11"/>
  <c r="B354" i="11"/>
  <c r="B137" i="11"/>
  <c r="B70" i="11"/>
  <c r="B230" i="11"/>
  <c r="C30" i="11"/>
  <c r="C200" i="11"/>
  <c r="B21" i="11"/>
  <c r="B131" i="11"/>
  <c r="B142" i="11"/>
  <c r="B302" i="11"/>
  <c r="C92" i="11"/>
  <c r="C252" i="11"/>
  <c r="B53" i="11"/>
  <c r="C123" i="11"/>
  <c r="C283" i="11"/>
  <c r="C258" i="11"/>
  <c r="C31" i="11"/>
  <c r="S9" i="10"/>
  <c r="S16" i="10"/>
  <c r="B28" i="11"/>
  <c r="B24" i="11"/>
  <c r="C68" i="11"/>
  <c r="C301" i="11"/>
  <c r="B170" i="11"/>
  <c r="C310" i="11"/>
  <c r="C352" i="11"/>
  <c r="C204" i="11"/>
  <c r="B55" i="11"/>
  <c r="C90" i="11"/>
  <c r="B205" i="11"/>
  <c r="B184" i="11"/>
  <c r="C160" i="11"/>
  <c r="C94" i="11"/>
  <c r="C144" i="11"/>
  <c r="C216" i="11"/>
  <c r="B217" i="11"/>
  <c r="C217" i="11"/>
  <c r="B218" i="11"/>
  <c r="C199" i="11"/>
  <c r="B86" i="11"/>
  <c r="B58" i="11"/>
  <c r="B37" i="11"/>
  <c r="C187" i="11"/>
  <c r="C324" i="11"/>
  <c r="B307" i="11"/>
  <c r="C287" i="11"/>
  <c r="B269" i="11"/>
  <c r="C269" i="11"/>
  <c r="C254" i="11"/>
  <c r="B294" i="11"/>
  <c r="C309" i="11"/>
  <c r="C294" i="11"/>
  <c r="B275" i="11"/>
  <c r="B198" i="11"/>
  <c r="B329" i="11"/>
  <c r="B113" i="11"/>
  <c r="B236" i="11"/>
  <c r="C5" i="11"/>
  <c r="B208" i="11"/>
  <c r="B195" i="11"/>
  <c r="C219" i="11"/>
  <c r="B339" i="11"/>
  <c r="B124" i="11"/>
  <c r="B80" i="11"/>
  <c r="B240" i="11"/>
  <c r="C40" i="11"/>
  <c r="C210" i="11"/>
  <c r="B31" i="11"/>
  <c r="B151" i="11"/>
  <c r="B152" i="11"/>
  <c r="B312" i="11"/>
  <c r="C102" i="11"/>
  <c r="C262" i="11"/>
  <c r="B63" i="11"/>
  <c r="C133" i="11"/>
  <c r="C293" i="11"/>
  <c r="B246" i="11"/>
  <c r="C16" i="11"/>
  <c r="S15" i="10"/>
  <c r="S18" i="10"/>
  <c r="B7" i="11"/>
  <c r="C192" i="11"/>
  <c r="B57" i="11"/>
  <c r="C311" i="11"/>
  <c r="B97" i="11"/>
  <c r="C150" i="11"/>
  <c r="C362" i="11"/>
  <c r="C104" i="11"/>
  <c r="B177" i="11"/>
  <c r="B35" i="11"/>
  <c r="C212" i="11"/>
  <c r="C74" i="11"/>
  <c r="C238" i="11"/>
  <c r="B239" i="11"/>
  <c r="C239" i="11"/>
  <c r="B241" i="11"/>
  <c r="B221" i="11"/>
  <c r="C106" i="11"/>
  <c r="C86" i="11"/>
  <c r="C58" i="11"/>
  <c r="C327" i="11"/>
  <c r="B345" i="11"/>
  <c r="B325" i="11"/>
  <c r="C307" i="11"/>
  <c r="C289" i="11"/>
  <c r="B291" i="11"/>
  <c r="B119" i="11"/>
  <c r="C169" i="11"/>
  <c r="C189" i="11"/>
  <c r="B173" i="11"/>
  <c r="C215" i="11"/>
  <c r="C185" i="11"/>
  <c r="C316" i="11"/>
  <c r="C97" i="11"/>
  <c r="B223" i="11"/>
  <c r="C195" i="11"/>
  <c r="B181" i="11"/>
  <c r="B207" i="11"/>
  <c r="C326" i="11"/>
  <c r="B108" i="11"/>
  <c r="B90" i="11"/>
  <c r="B250" i="11"/>
  <c r="C50" i="11"/>
  <c r="C220" i="11"/>
  <c r="B41" i="11"/>
  <c r="B171" i="11"/>
  <c r="B162" i="11"/>
  <c r="B322" i="11"/>
  <c r="C112" i="11"/>
  <c r="C272" i="11"/>
  <c r="B73" i="11"/>
  <c r="C143" i="11"/>
  <c r="C303" i="11"/>
  <c r="B233" i="11"/>
  <c r="S23" i="10"/>
  <c r="S20" i="10"/>
  <c r="B54" i="11"/>
  <c r="C334" i="11"/>
  <c r="C328" i="11"/>
  <c r="B219" i="11"/>
  <c r="C32" i="11"/>
  <c r="B267" i="11"/>
  <c r="B117" i="11"/>
  <c r="B278" i="11"/>
  <c r="C206" i="11"/>
  <c r="C233" i="11"/>
  <c r="C84" i="11"/>
  <c r="B163" i="11"/>
  <c r="B38" i="11"/>
  <c r="B190" i="11"/>
  <c r="B313" i="11"/>
  <c r="B331" i="11"/>
  <c r="B257" i="11"/>
  <c r="C257" i="11"/>
  <c r="B258" i="11"/>
  <c r="B261" i="11"/>
  <c r="C241" i="11"/>
  <c r="B133" i="11"/>
  <c r="B107" i="11"/>
  <c r="B87" i="11"/>
  <c r="C9" i="11"/>
  <c r="C361" i="11"/>
  <c r="B346" i="11"/>
  <c r="C325" i="11"/>
  <c r="B308" i="11"/>
  <c r="C308" i="11"/>
  <c r="B301" i="11"/>
  <c r="C99" i="11"/>
  <c r="B309" i="11"/>
  <c r="C231" i="11"/>
  <c r="B147" i="11"/>
  <c r="C171" i="11"/>
  <c r="B304" i="11"/>
  <c r="B84" i="11"/>
  <c r="C208" i="11"/>
  <c r="C181" i="11"/>
  <c r="B167" i="11"/>
  <c r="C194" i="11"/>
  <c r="B314" i="11"/>
  <c r="B95" i="11"/>
  <c r="B100" i="11"/>
  <c r="B260" i="11"/>
  <c r="C60" i="11"/>
  <c r="C230" i="11"/>
  <c r="B51" i="11"/>
  <c r="B12" i="11"/>
  <c r="B172" i="11"/>
  <c r="B332" i="11"/>
  <c r="C122" i="11"/>
  <c r="C282" i="11"/>
  <c r="B83" i="11"/>
  <c r="C153" i="11"/>
  <c r="C313" i="11"/>
  <c r="C218" i="11"/>
  <c r="S25" i="10"/>
  <c r="S35" i="10"/>
  <c r="S22" i="10"/>
  <c r="B315" i="11"/>
  <c r="C65" i="11"/>
  <c r="B123" i="11"/>
  <c r="C56" i="11"/>
  <c r="B349" i="11"/>
  <c r="B66" i="11"/>
  <c r="C320" i="11"/>
  <c r="C73" i="11"/>
  <c r="B271" i="11"/>
  <c r="C186" i="11"/>
  <c r="B303" i="11"/>
  <c r="B102" i="11"/>
  <c r="S34" i="10"/>
  <c r="B74" i="11"/>
  <c r="B146" i="11"/>
  <c r="C278" i="11"/>
  <c r="B279" i="11"/>
  <c r="C279" i="11"/>
  <c r="B281" i="11"/>
  <c r="C264" i="11"/>
  <c r="C157" i="11"/>
  <c r="B134" i="11"/>
  <c r="B114" i="11"/>
  <c r="C37" i="11"/>
  <c r="C11" i="11"/>
  <c r="B363" i="11"/>
  <c r="C346" i="11"/>
  <c r="B327" i="11"/>
  <c r="C347" i="11"/>
  <c r="C44" i="11"/>
  <c r="C21" i="11"/>
  <c r="B45" i="11"/>
  <c r="B293" i="11"/>
  <c r="B75" i="11"/>
  <c r="B157" i="11"/>
  <c r="B289" i="11"/>
  <c r="B67" i="11"/>
  <c r="B196" i="11"/>
  <c r="C167" i="11"/>
  <c r="B154" i="11"/>
  <c r="C179" i="11"/>
  <c r="B299" i="11"/>
  <c r="B78" i="11"/>
  <c r="B110" i="11"/>
  <c r="B270" i="11"/>
  <c r="C70" i="11"/>
  <c r="C240" i="11"/>
  <c r="B61" i="11"/>
  <c r="B22" i="11"/>
  <c r="B182" i="11"/>
  <c r="B342" i="11"/>
  <c r="C132" i="11"/>
  <c r="C292" i="11"/>
  <c r="B93" i="11"/>
  <c r="C163" i="11"/>
  <c r="C323" i="11"/>
  <c r="B206" i="11"/>
  <c r="S32" i="10"/>
  <c r="S7" i="10"/>
  <c r="C55" i="11"/>
  <c r="C338" i="11"/>
  <c r="C295" i="11"/>
  <c r="B326" i="11"/>
  <c r="B305" i="11"/>
  <c r="C330" i="11"/>
  <c r="C329" i="11"/>
  <c r="C145" i="11"/>
  <c r="D145" i="11" s="1"/>
  <c r="C296" i="11"/>
  <c r="B297" i="11"/>
  <c r="C297" i="11"/>
  <c r="B298" i="11"/>
  <c r="C281" i="11"/>
  <c r="C177" i="11"/>
  <c r="B158" i="11"/>
  <c r="C134" i="11"/>
  <c r="B59" i="11"/>
  <c r="C38" i="11"/>
  <c r="B14" i="11"/>
  <c r="B4" i="11"/>
  <c r="B347" i="11"/>
  <c r="B191" i="11"/>
  <c r="B296" i="11"/>
  <c r="B338" i="11"/>
  <c r="C351" i="11"/>
  <c r="B231" i="11"/>
  <c r="B358" i="11"/>
  <c r="B144" i="11"/>
  <c r="C276" i="11"/>
  <c r="C51" i="11"/>
  <c r="B183" i="11"/>
  <c r="C154" i="11"/>
  <c r="B138" i="11"/>
  <c r="C166" i="11"/>
  <c r="C286" i="11"/>
  <c r="C64" i="11"/>
  <c r="B120" i="11"/>
  <c r="B280" i="11"/>
  <c r="C80" i="11"/>
  <c r="C250" i="11"/>
  <c r="B81" i="11"/>
  <c r="B32" i="11"/>
  <c r="B192" i="11"/>
  <c r="B352" i="11"/>
  <c r="C142" i="11"/>
  <c r="C302" i="11"/>
  <c r="C13" i="11"/>
  <c r="C173" i="11"/>
  <c r="C333" i="11"/>
  <c r="B193" i="11"/>
  <c r="S27" i="10"/>
  <c r="D43" i="10"/>
  <c r="S13" i="10"/>
  <c r="C54" i="11"/>
  <c r="B186" i="11"/>
  <c r="B340" i="11"/>
  <c r="S29" i="10"/>
  <c r="B285" i="11"/>
  <c r="B30" i="11"/>
  <c r="S8" i="10"/>
  <c r="C71" i="11"/>
  <c r="C255" i="11"/>
  <c r="B317" i="11"/>
  <c r="C317" i="11"/>
  <c r="C318" i="11"/>
  <c r="B319" i="11"/>
  <c r="C299" i="11"/>
  <c r="C201" i="11"/>
  <c r="B178" i="11"/>
  <c r="C158" i="11"/>
  <c r="C87" i="11"/>
  <c r="C59" i="11"/>
  <c r="B39" i="11"/>
  <c r="C14" i="11"/>
  <c r="C4" i="11"/>
  <c r="C119" i="11"/>
  <c r="B188" i="11"/>
  <c r="B169" i="11"/>
  <c r="B254" i="11"/>
  <c r="B16" i="11"/>
  <c r="C345" i="11"/>
  <c r="B128" i="11"/>
  <c r="B264" i="11"/>
  <c r="C36" i="11"/>
  <c r="B168" i="11"/>
  <c r="C355" i="11"/>
  <c r="C138" i="11"/>
  <c r="B125" i="11"/>
  <c r="B153" i="11"/>
  <c r="B274" i="11"/>
  <c r="C47" i="11"/>
  <c r="B130" i="11"/>
  <c r="B290" i="11"/>
  <c r="C100" i="11"/>
  <c r="C260" i="11"/>
  <c r="B91" i="11"/>
  <c r="B42" i="11"/>
  <c r="B202" i="11"/>
  <c r="B362" i="11"/>
  <c r="C152" i="11"/>
  <c r="C312" i="11"/>
  <c r="C23" i="11"/>
  <c r="C183" i="11"/>
  <c r="C343" i="11"/>
  <c r="C178" i="11"/>
  <c r="S31" i="10"/>
  <c r="S36" i="10"/>
  <c r="S19" i="10"/>
  <c r="C159" i="11"/>
  <c r="C304" i="11"/>
  <c r="C196" i="11"/>
  <c r="B92" i="11"/>
  <c r="B104" i="11"/>
  <c r="C224" i="11"/>
  <c r="B194" i="11"/>
  <c r="B13" i="11"/>
  <c r="B255" i="11"/>
  <c r="C335" i="11"/>
  <c r="B336" i="11"/>
  <c r="C336" i="11"/>
  <c r="B337" i="11"/>
  <c r="C319" i="11"/>
  <c r="B225" i="11"/>
  <c r="B203" i="11"/>
  <c r="C184" i="11"/>
  <c r="C114" i="11"/>
  <c r="B88" i="11"/>
  <c r="C61" i="11"/>
  <c r="C39" i="11"/>
  <c r="B15" i="11"/>
  <c r="C358" i="11"/>
  <c r="B118" i="11"/>
  <c r="C98" i="11"/>
  <c r="C118" i="11"/>
  <c r="B283" i="11"/>
  <c r="C331" i="11"/>
  <c r="B115" i="11"/>
  <c r="B249" i="11"/>
  <c r="C19" i="11"/>
  <c r="B155" i="11"/>
  <c r="C341" i="11"/>
  <c r="C125" i="11"/>
  <c r="B109" i="11"/>
  <c r="C137" i="11"/>
  <c r="B259" i="11"/>
  <c r="B34" i="11"/>
  <c r="B140" i="11"/>
  <c r="B300" i="11"/>
  <c r="C110" i="11"/>
  <c r="C280" i="11"/>
  <c r="B101" i="11"/>
  <c r="B52" i="11"/>
  <c r="B212" i="11"/>
  <c r="E47" i="10"/>
  <c r="C162" i="11"/>
  <c r="C322" i="11"/>
  <c r="C33" i="11"/>
  <c r="C193" i="11"/>
  <c r="C353" i="11"/>
  <c r="C165" i="11"/>
  <c r="S26" i="10"/>
  <c r="S30" i="10"/>
  <c r="B245" i="11"/>
  <c r="C79" i="11"/>
  <c r="B82" i="11"/>
  <c r="B76" i="11"/>
  <c r="C78" i="11"/>
  <c r="C107" i="11"/>
  <c r="C321" i="11"/>
  <c r="B49" i="11"/>
  <c r="C83" i="11"/>
  <c r="B321" i="11"/>
  <c r="B17" i="11"/>
  <c r="C354" i="11"/>
  <c r="B355" i="11"/>
  <c r="B356" i="11"/>
  <c r="B357" i="11"/>
  <c r="C337" i="11"/>
  <c r="B244" i="11"/>
  <c r="B226" i="11"/>
  <c r="B204" i="11"/>
  <c r="B135" i="11"/>
  <c r="C115" i="11"/>
  <c r="C88" i="11"/>
  <c r="C67" i="11"/>
  <c r="C41" i="11"/>
  <c r="B189" i="11"/>
  <c r="C349" i="11"/>
  <c r="B335" i="11"/>
  <c r="B351" i="11"/>
  <c r="C229" i="11"/>
  <c r="B318" i="11"/>
  <c r="B99" i="11"/>
  <c r="C236" i="11"/>
  <c r="B6" i="11"/>
  <c r="B139" i="11"/>
  <c r="B328" i="11"/>
  <c r="C109" i="11"/>
  <c r="B96" i="11"/>
  <c r="C124" i="11"/>
  <c r="C246" i="11"/>
  <c r="B150" i="11"/>
  <c r="B310" i="11"/>
  <c r="C120" i="11"/>
  <c r="C290" i="11"/>
  <c r="B121" i="11"/>
  <c r="B62" i="11"/>
  <c r="B222" i="11"/>
  <c r="C12" i="11"/>
  <c r="C172" i="11"/>
  <c r="C332" i="11"/>
  <c r="C43" i="11"/>
  <c r="C203" i="11"/>
  <c r="C363" i="11"/>
  <c r="C149" i="11"/>
  <c r="S28" i="10"/>
  <c r="S33" i="10"/>
  <c r="C223" i="11"/>
  <c r="C284" i="11"/>
  <c r="B295" i="11"/>
  <c r="C52" i="11"/>
  <c r="C69" i="11"/>
  <c r="B26" i="11"/>
  <c r="C26" i="11"/>
  <c r="B27" i="11"/>
  <c r="C27" i="11"/>
  <c r="C6" i="11"/>
  <c r="C357" i="11"/>
  <c r="B266" i="11"/>
  <c r="C244" i="11"/>
  <c r="C226" i="11"/>
  <c r="B159" i="11"/>
  <c r="C135" i="11"/>
  <c r="B116" i="11"/>
  <c r="B89" i="11"/>
  <c r="B68" i="11"/>
  <c r="C188" i="11"/>
  <c r="C237" i="11"/>
  <c r="B98" i="11"/>
  <c r="B243" i="11"/>
  <c r="B165" i="11"/>
  <c r="C305" i="11"/>
  <c r="C85" i="11"/>
  <c r="B224" i="11"/>
  <c r="B343" i="11"/>
  <c r="B126" i="11"/>
  <c r="C315" i="11"/>
  <c r="C96" i="11"/>
  <c r="B79" i="11"/>
  <c r="C108" i="11"/>
  <c r="B234" i="11"/>
  <c r="S24" i="10"/>
  <c r="B160" i="11"/>
  <c r="B320" i="11"/>
  <c r="C130" i="11"/>
  <c r="C300" i="11"/>
  <c r="B141" i="11"/>
  <c r="B72" i="11"/>
  <c r="B232" i="11"/>
  <c r="C22" i="11"/>
  <c r="C182" i="11"/>
  <c r="C342" i="11"/>
  <c r="C53" i="11"/>
  <c r="C213" i="11"/>
  <c r="B353" i="11"/>
  <c r="C136" i="11"/>
  <c r="S11" i="10"/>
  <c r="B136" i="11"/>
  <c r="B330" i="11"/>
  <c r="C75" i="11"/>
  <c r="C141" i="11"/>
  <c r="B316" i="11"/>
  <c r="B180" i="11"/>
  <c r="S21" i="10"/>
  <c r="B85" i="11"/>
  <c r="C191" i="11"/>
  <c r="C275" i="11"/>
  <c r="B262" i="11"/>
  <c r="D53" i="6"/>
  <c r="E53" i="6" s="1"/>
  <c r="D54" i="6"/>
  <c r="E54" i="6" s="1"/>
  <c r="I25" i="6"/>
  <c r="D339" i="11" l="1"/>
  <c r="D34" i="11"/>
  <c r="D289" i="11"/>
  <c r="D85" i="11"/>
  <c r="D274" i="11"/>
  <c r="D288" i="11"/>
  <c r="D301" i="11"/>
  <c r="D231" i="11"/>
  <c r="D128" i="11"/>
  <c r="D66" i="11"/>
  <c r="D90" i="11"/>
  <c r="D101" i="11"/>
  <c r="D15" i="11"/>
  <c r="D222" i="11"/>
  <c r="D189" i="11"/>
  <c r="D168" i="11"/>
  <c r="D219" i="11"/>
  <c r="D32" i="11"/>
  <c r="D16" i="11"/>
  <c r="D232" i="11"/>
  <c r="D202" i="11"/>
  <c r="D285" i="11"/>
  <c r="D18" i="12"/>
  <c r="E43" i="8"/>
  <c r="E47" i="8" s="1"/>
  <c r="H44" i="8" s="1"/>
  <c r="D47" i="8"/>
  <c r="H26" i="8" s="1"/>
  <c r="D245" i="11"/>
  <c r="D362" i="11"/>
  <c r="D314" i="11"/>
  <c r="D352" i="11"/>
  <c r="D298" i="11"/>
  <c r="D159" i="11"/>
  <c r="D146" i="11"/>
  <c r="D140" i="11"/>
  <c r="D194" i="11"/>
  <c r="D117" i="11"/>
  <c r="D116" i="11"/>
  <c r="D95" i="11"/>
  <c r="D213" i="11"/>
  <c r="D264" i="11"/>
  <c r="D57" i="11"/>
  <c r="D270" i="11"/>
  <c r="D89" i="11"/>
  <c r="D209" i="11"/>
  <c r="D147" i="11"/>
  <c r="D212" i="11"/>
  <c r="D81" i="11"/>
  <c r="D126" i="11"/>
  <c r="D293" i="11"/>
  <c r="D328" i="11"/>
  <c r="D204" i="11"/>
  <c r="D151" i="11"/>
  <c r="D348" i="11"/>
  <c r="D201" i="11"/>
  <c r="D326" i="11"/>
  <c r="D74" i="11"/>
  <c r="D180" i="11"/>
  <c r="D42" i="11"/>
  <c r="D92" i="11"/>
  <c r="D91" i="11"/>
  <c r="D111" i="11"/>
  <c r="D320" i="11"/>
  <c r="D121" i="11"/>
  <c r="D169" i="11"/>
  <c r="D133" i="11"/>
  <c r="D205" i="11"/>
  <c r="D77" i="11"/>
  <c r="D256" i="11"/>
  <c r="D214" i="11"/>
  <c r="D291" i="11"/>
  <c r="D283" i="11"/>
  <c r="D190" i="11"/>
  <c r="D46" i="11"/>
  <c r="D13" i="11"/>
  <c r="D244" i="11"/>
  <c r="D14" i="11"/>
  <c r="D346" i="11"/>
  <c r="D73" i="11"/>
  <c r="D29" i="11"/>
  <c r="D33" i="11"/>
  <c r="D341" i="11"/>
  <c r="D129" i="11"/>
  <c r="D224" i="11"/>
  <c r="D139" i="11"/>
  <c r="D226" i="11"/>
  <c r="D300" i="11"/>
  <c r="D118" i="11"/>
  <c r="D4" i="11"/>
  <c r="D163" i="11"/>
  <c r="D230" i="11"/>
  <c r="D215" i="11"/>
  <c r="D248" i="11"/>
  <c r="D324" i="11"/>
  <c r="D272" i="11"/>
  <c r="D99" i="11"/>
  <c r="D104" i="11"/>
  <c r="D102" i="11"/>
  <c r="D234" i="11"/>
  <c r="D93" i="11"/>
  <c r="D297" i="11"/>
  <c r="D153" i="11"/>
  <c r="D347" i="11"/>
  <c r="D31" i="11"/>
  <c r="D253" i="11"/>
  <c r="D112" i="11"/>
  <c r="D223" i="11"/>
  <c r="D72" i="11"/>
  <c r="D316" i="11"/>
  <c r="D318" i="11"/>
  <c r="D254" i="11"/>
  <c r="D351" i="11"/>
  <c r="D206" i="11"/>
  <c r="D261" i="11"/>
  <c r="D155" i="11"/>
  <c r="D225" i="11"/>
  <c r="D340" i="11"/>
  <c r="D262" i="11"/>
  <c r="D198" i="11"/>
  <c r="D39" i="11"/>
  <c r="D343" i="11"/>
  <c r="D266" i="11"/>
  <c r="D319" i="11"/>
  <c r="D193" i="11"/>
  <c r="D137" i="11"/>
  <c r="D65" i="11"/>
  <c r="D292" i="11"/>
  <c r="D156" i="11"/>
  <c r="D276" i="11"/>
  <c r="D11" i="11"/>
  <c r="D69" i="11"/>
  <c r="D165" i="11"/>
  <c r="D259" i="11"/>
  <c r="D221" i="11"/>
  <c r="D7" i="11"/>
  <c r="D26" i="11"/>
  <c r="D355" i="11"/>
  <c r="D109" i="11"/>
  <c r="D88" i="11"/>
  <c r="D317" i="11"/>
  <c r="D183" i="11"/>
  <c r="D158" i="11"/>
  <c r="D83" i="11"/>
  <c r="D107" i="11"/>
  <c r="D162" i="11"/>
  <c r="D269" i="11"/>
  <c r="D252" i="11"/>
  <c r="D174" i="11"/>
  <c r="D175" i="11"/>
  <c r="D122" i="11"/>
  <c r="D238" i="11"/>
  <c r="D330" i="11"/>
  <c r="D160" i="11"/>
  <c r="D335" i="11"/>
  <c r="D17" i="11"/>
  <c r="D148" i="11"/>
  <c r="D68" i="11"/>
  <c r="D310" i="11"/>
  <c r="D258" i="11"/>
  <c r="D150" i="11"/>
  <c r="D249" i="11"/>
  <c r="D250" i="11"/>
  <c r="D35" i="11"/>
  <c r="D37" i="11"/>
  <c r="D344" i="11"/>
  <c r="D350" i="11"/>
  <c r="D123" i="11"/>
  <c r="D113" i="11"/>
  <c r="D170" i="11"/>
  <c r="D131" i="11"/>
  <c r="D247" i="11"/>
  <c r="D96" i="11"/>
  <c r="D336" i="11"/>
  <c r="D296" i="11"/>
  <c r="D313" i="11"/>
  <c r="D82" i="11"/>
  <c r="D255" i="11"/>
  <c r="D178" i="11"/>
  <c r="D120" i="11"/>
  <c r="D305" i="11"/>
  <c r="D61" i="11"/>
  <c r="D45" i="11"/>
  <c r="D100" i="11"/>
  <c r="D308" i="11"/>
  <c r="D38" i="11"/>
  <c r="D181" i="11"/>
  <c r="D97" i="11"/>
  <c r="D24" i="11"/>
  <c r="D43" i="11"/>
  <c r="D36" i="11"/>
  <c r="D28" i="11"/>
  <c r="D141" i="11"/>
  <c r="D27" i="11"/>
  <c r="D357" i="11"/>
  <c r="D138" i="11"/>
  <c r="D59" i="11"/>
  <c r="D110" i="11"/>
  <c r="D327" i="11"/>
  <c r="D167" i="11"/>
  <c r="D240" i="11"/>
  <c r="D354" i="11"/>
  <c r="D132" i="11"/>
  <c r="D176" i="11"/>
  <c r="D8" i="11"/>
  <c r="D161" i="11"/>
  <c r="D25" i="11"/>
  <c r="D243" i="11"/>
  <c r="D356" i="11"/>
  <c r="D78" i="11"/>
  <c r="D303" i="11"/>
  <c r="D87" i="11"/>
  <c r="D278" i="11"/>
  <c r="D322" i="11"/>
  <c r="D241" i="11"/>
  <c r="D80" i="11"/>
  <c r="D287" i="11"/>
  <c r="D227" i="11"/>
  <c r="D334" i="11"/>
  <c r="D282" i="11"/>
  <c r="D10" i="11"/>
  <c r="D127" i="11"/>
  <c r="D124" i="11"/>
  <c r="D184" i="11"/>
  <c r="D149" i="11"/>
  <c r="D360" i="11"/>
  <c r="D106" i="11"/>
  <c r="D6" i="11"/>
  <c r="D294" i="11"/>
  <c r="D62" i="11"/>
  <c r="D271" i="11"/>
  <c r="D84" i="11"/>
  <c r="D267" i="11"/>
  <c r="D171" i="11"/>
  <c r="D173" i="11"/>
  <c r="D239" i="11"/>
  <c r="D361" i="11"/>
  <c r="D44" i="11"/>
  <c r="D71" i="11"/>
  <c r="D94" i="11"/>
  <c r="D200" i="11"/>
  <c r="D265" i="11"/>
  <c r="D263" i="11"/>
  <c r="D242" i="11"/>
  <c r="D290" i="11"/>
  <c r="D188" i="11"/>
  <c r="D154" i="11"/>
  <c r="D304" i="11"/>
  <c r="D41" i="11"/>
  <c r="D246" i="11"/>
  <c r="D307" i="11"/>
  <c r="D53" i="11"/>
  <c r="D19" i="11"/>
  <c r="D9" i="11"/>
  <c r="D277" i="11"/>
  <c r="D237" i="11"/>
  <c r="D284" i="11"/>
  <c r="D40" i="11"/>
  <c r="D164" i="11"/>
  <c r="D299" i="11"/>
  <c r="D321" i="11"/>
  <c r="D203" i="11"/>
  <c r="D130" i="11"/>
  <c r="D144" i="11"/>
  <c r="D114" i="11"/>
  <c r="D332" i="11"/>
  <c r="D195" i="11"/>
  <c r="D55" i="11"/>
  <c r="D220" i="11"/>
  <c r="D179" i="11"/>
  <c r="D187" i="11"/>
  <c r="D98" i="11"/>
  <c r="D136" i="11"/>
  <c r="D295" i="11"/>
  <c r="D30" i="11"/>
  <c r="D192" i="11"/>
  <c r="D358" i="11"/>
  <c r="D196" i="11"/>
  <c r="D134" i="11"/>
  <c r="D172" i="11"/>
  <c r="D119" i="11"/>
  <c r="D208" i="11"/>
  <c r="D56" i="11"/>
  <c r="D60" i="11"/>
  <c r="D229" i="11"/>
  <c r="D235" i="11"/>
  <c r="D48" i="11"/>
  <c r="D45" i="10"/>
  <c r="E43" i="10"/>
  <c r="E45" i="10" s="1"/>
  <c r="E49" i="10" s="1"/>
  <c r="E56" i="10" s="1"/>
  <c r="D359" i="11"/>
  <c r="D49" i="11"/>
  <c r="D67" i="11"/>
  <c r="D349" i="11"/>
  <c r="D12" i="11"/>
  <c r="D63" i="11"/>
  <c r="D302" i="11"/>
  <c r="D185" i="11"/>
  <c r="D210" i="11"/>
  <c r="D311" i="11"/>
  <c r="D18" i="11"/>
  <c r="D47" i="10"/>
  <c r="D115" i="11"/>
  <c r="D337" i="11"/>
  <c r="D51" i="11"/>
  <c r="D309" i="11"/>
  <c r="D257" i="11"/>
  <c r="D54" i="11"/>
  <c r="D177" i="11"/>
  <c r="D236" i="11"/>
  <c r="D58" i="11"/>
  <c r="D142" i="11"/>
  <c r="D199" i="11"/>
  <c r="D47" i="11"/>
  <c r="D143" i="11"/>
  <c r="D50" i="11"/>
  <c r="D211" i="11"/>
  <c r="D216" i="11"/>
  <c r="D353" i="11"/>
  <c r="D79" i="11"/>
  <c r="D52" i="11"/>
  <c r="D125" i="11"/>
  <c r="D338" i="11"/>
  <c r="D342" i="11"/>
  <c r="D157" i="11"/>
  <c r="D281" i="11"/>
  <c r="D331" i="11"/>
  <c r="D108" i="11"/>
  <c r="D86" i="11"/>
  <c r="D333" i="11"/>
  <c r="D273" i="11"/>
  <c r="D268" i="11"/>
  <c r="D105" i="11"/>
  <c r="D166" i="11"/>
  <c r="D103" i="11"/>
  <c r="D306" i="11"/>
  <c r="D217" i="11"/>
  <c r="D70" i="11"/>
  <c r="D251" i="11"/>
  <c r="D186" i="11"/>
  <c r="D182" i="11"/>
  <c r="D75" i="11"/>
  <c r="D325" i="11"/>
  <c r="D312" i="11"/>
  <c r="D329" i="11"/>
  <c r="D21" i="11"/>
  <c r="D5" i="11"/>
  <c r="D64" i="11"/>
  <c r="D228" i="11"/>
  <c r="D23" i="11"/>
  <c r="D323" i="11"/>
  <c r="D275" i="11"/>
  <c r="D363" i="11"/>
  <c r="D135" i="11"/>
  <c r="D76" i="11"/>
  <c r="D280" i="11"/>
  <c r="D191" i="11"/>
  <c r="D22" i="11"/>
  <c r="D279" i="11"/>
  <c r="D315" i="11"/>
  <c r="D260" i="11"/>
  <c r="D233" i="11"/>
  <c r="D207" i="11"/>
  <c r="D345" i="11"/>
  <c r="D152" i="11"/>
  <c r="D218" i="11"/>
  <c r="D197" i="11"/>
  <c r="D286" i="11"/>
  <c r="D20" i="11"/>
  <c r="E4" i="11"/>
  <c r="E5" i="11" s="1"/>
  <c r="E6" i="11" s="1"/>
  <c r="E7" i="11" s="1"/>
  <c r="E8" i="11" s="1"/>
  <c r="E9" i="11" s="1"/>
  <c r="E10" i="11" s="1"/>
  <c r="E11" i="11" s="1"/>
  <c r="E12" i="11" s="1"/>
  <c r="E13" i="11" s="1"/>
  <c r="E14" i="11" s="1"/>
  <c r="E15" i="11" s="1"/>
  <c r="D51" i="6"/>
  <c r="D25" i="6"/>
  <c r="A11" i="2"/>
  <c r="A12" i="2" s="1"/>
  <c r="A13" i="2" s="1"/>
  <c r="A14" i="2" s="1"/>
  <c r="A15" i="2" s="1"/>
  <c r="A16" i="2" s="1"/>
  <c r="A17" i="2" s="1"/>
  <c r="A18" i="2" s="1"/>
  <c r="A19" i="2" s="1"/>
  <c r="A20" i="2" s="1"/>
  <c r="A21" i="2" s="1"/>
  <c r="A22" i="2" s="1"/>
  <c r="A23" i="2" s="1"/>
  <c r="D49" i="10" l="1"/>
  <c r="D56" i="10" s="1"/>
  <c r="E51" i="6"/>
  <c r="H28" i="8"/>
  <c r="I28" i="8" s="1"/>
  <c r="H27" i="8"/>
  <c r="I27" i="8" s="1"/>
  <c r="H37" i="8" s="1"/>
  <c r="I26" i="8"/>
  <c r="E16" i="11"/>
  <c r="E17" i="11" s="1"/>
  <c r="E18" i="11" s="1"/>
  <c r="E19" i="11" s="1"/>
  <c r="E20" i="11" s="1"/>
  <c r="E21" i="11" s="1"/>
  <c r="E22" i="11" s="1"/>
  <c r="E23" i="11" s="1"/>
  <c r="E24" i="11" s="1"/>
  <c r="E25" i="11" s="1"/>
  <c r="E26" i="11" s="1"/>
  <c r="E27" i="11" s="1"/>
  <c r="U7" i="10"/>
  <c r="N7" i="10" s="1"/>
  <c r="I25" i="10"/>
  <c r="D35" i="6"/>
  <c r="E46" i="6"/>
  <c r="C20" i="3" s="1"/>
  <c r="H33" i="6"/>
  <c r="D22" i="12" s="1"/>
  <c r="D24" i="6"/>
  <c r="H38" i="8" l="1"/>
  <c r="C20" i="12"/>
  <c r="I45" i="10"/>
  <c r="F262" i="11"/>
  <c r="F247" i="11"/>
  <c r="F73" i="11"/>
  <c r="F161" i="11"/>
  <c r="F160" i="11"/>
  <c r="F145" i="11"/>
  <c r="F28" i="11"/>
  <c r="F275" i="11"/>
  <c r="F182" i="11"/>
  <c r="F310" i="11"/>
  <c r="F139" i="11"/>
  <c r="F56" i="11"/>
  <c r="F72" i="11"/>
  <c r="F318" i="11"/>
  <c r="F165" i="11"/>
  <c r="F344" i="11"/>
  <c r="F227" i="11"/>
  <c r="F124" i="11"/>
  <c r="F339" i="11"/>
  <c r="F347" i="11"/>
  <c r="F69" i="11"/>
  <c r="F306" i="11"/>
  <c r="F293" i="11"/>
  <c r="F93" i="11"/>
  <c r="F352" i="11"/>
  <c r="F147" i="11"/>
  <c r="F137" i="11"/>
  <c r="F362" i="11"/>
  <c r="F21" i="11"/>
  <c r="F221" i="11"/>
  <c r="F301" i="11"/>
  <c r="F46" i="11"/>
  <c r="F314" i="11"/>
  <c r="F315" i="11"/>
  <c r="F246" i="11"/>
  <c r="F229" i="11"/>
  <c r="F67" i="11"/>
  <c r="F236" i="11"/>
  <c r="F241" i="11"/>
  <c r="F200" i="11"/>
  <c r="F17" i="11"/>
  <c r="F113" i="11"/>
  <c r="F9" i="11"/>
  <c r="F87" i="11"/>
  <c r="F48" i="11"/>
  <c r="F38" i="11"/>
  <c r="F234" i="11"/>
  <c r="F323" i="11"/>
  <c r="F316" i="11"/>
  <c r="F83" i="11"/>
  <c r="F300" i="11"/>
  <c r="F322" i="11"/>
  <c r="F177" i="11"/>
  <c r="F328" i="11"/>
  <c r="F363" i="11"/>
  <c r="F285" i="11"/>
  <c r="F248" i="11"/>
  <c r="F50" i="11"/>
  <c r="F304" i="11"/>
  <c r="F31" i="11"/>
  <c r="F279" i="11"/>
  <c r="F360" i="11"/>
  <c r="F116" i="11"/>
  <c r="F40" i="11"/>
  <c r="F212" i="11"/>
  <c r="F62" i="11"/>
  <c r="F273" i="11"/>
  <c r="F143" i="11"/>
  <c r="F119" i="11"/>
  <c r="F245" i="11"/>
  <c r="F331" i="11"/>
  <c r="F228" i="11"/>
  <c r="F249" i="11"/>
  <c r="F92" i="11"/>
  <c r="F204" i="11"/>
  <c r="F286" i="11"/>
  <c r="F103" i="11"/>
  <c r="F76" i="11"/>
  <c r="F269" i="11"/>
  <c r="F131" i="11"/>
  <c r="F128" i="11"/>
  <c r="F226" i="11"/>
  <c r="F213" i="11"/>
  <c r="F308" i="11"/>
  <c r="F112" i="11"/>
  <c r="F99" i="11"/>
  <c r="F107" i="11"/>
  <c r="F222" i="11"/>
  <c r="F281" i="11"/>
  <c r="F22" i="11"/>
  <c r="F39" i="11"/>
  <c r="F265" i="11"/>
  <c r="F205" i="11"/>
  <c r="F24" i="11"/>
  <c r="F45" i="11"/>
  <c r="F218" i="11"/>
  <c r="F199" i="11"/>
  <c r="F96" i="11"/>
  <c r="F278" i="11"/>
  <c r="F86" i="11"/>
  <c r="F168" i="11"/>
  <c r="F239" i="11"/>
  <c r="F255" i="11"/>
  <c r="F270" i="11"/>
  <c r="F350" i="11"/>
  <c r="F98" i="11"/>
  <c r="F151" i="11"/>
  <c r="F88" i="11"/>
  <c r="F263" i="11"/>
  <c r="F13" i="11"/>
  <c r="F253" i="11"/>
  <c r="F109" i="11"/>
  <c r="F127" i="11"/>
  <c r="F231" i="11"/>
  <c r="F280" i="11"/>
  <c r="F303" i="11"/>
  <c r="F337" i="11"/>
  <c r="F357" i="11"/>
  <c r="F183" i="11"/>
  <c r="F343" i="11"/>
  <c r="F132" i="11"/>
  <c r="F309" i="11"/>
  <c r="F311" i="11"/>
  <c r="F54" i="11"/>
  <c r="F353" i="11"/>
  <c r="F320" i="11"/>
  <c r="F302" i="11"/>
  <c r="F313" i="11"/>
  <c r="F12" i="11"/>
  <c r="F100" i="11"/>
  <c r="F101" i="11"/>
  <c r="F164" i="11"/>
  <c r="F191" i="11"/>
  <c r="F184" i="11"/>
  <c r="F90" i="11"/>
  <c r="F235" i="11"/>
  <c r="F257" i="11"/>
  <c r="F187" i="11"/>
  <c r="F133" i="11"/>
  <c r="F190" i="11"/>
  <c r="F44" i="11"/>
  <c r="F207" i="11"/>
  <c r="F210" i="11"/>
  <c r="F358" i="11"/>
  <c r="F180" i="11"/>
  <c r="F33" i="11"/>
  <c r="F251" i="11"/>
  <c r="F136" i="11"/>
  <c r="F232" i="11"/>
  <c r="F198" i="11"/>
  <c r="F359" i="11"/>
  <c r="F217" i="11"/>
  <c r="F47" i="11"/>
  <c r="F118" i="11"/>
  <c r="F102" i="11"/>
  <c r="F29" i="11"/>
  <c r="F170" i="11"/>
  <c r="F49" i="11"/>
  <c r="F126" i="11"/>
  <c r="F129" i="11"/>
  <c r="F173" i="11"/>
  <c r="F254" i="11"/>
  <c r="F82" i="11"/>
  <c r="F332" i="11"/>
  <c r="F6" i="11"/>
  <c r="F214" i="11"/>
  <c r="F356" i="11"/>
  <c r="F349" i="11"/>
  <c r="F104" i="11"/>
  <c r="F30" i="11"/>
  <c r="F348" i="11"/>
  <c r="F325" i="11"/>
  <c r="F166" i="11"/>
  <c r="F111" i="11"/>
  <c r="F122" i="11"/>
  <c r="F225" i="11"/>
  <c r="F85" i="11"/>
  <c r="F27" i="11"/>
  <c r="F63" i="11"/>
  <c r="F55" i="11"/>
  <c r="F81" i="11"/>
  <c r="F188" i="11"/>
  <c r="F172" i="11"/>
  <c r="F259" i="11"/>
  <c r="F282" i="11"/>
  <c r="F345" i="11"/>
  <c r="F74" i="11"/>
  <c r="F20" i="11"/>
  <c r="F163" i="11"/>
  <c r="F244" i="11"/>
  <c r="F61" i="11"/>
  <c r="F32" i="11"/>
  <c r="F181" i="11"/>
  <c r="F106" i="11"/>
  <c r="F152" i="11"/>
  <c r="F51" i="11"/>
  <c r="F16" i="11"/>
  <c r="F289" i="11"/>
  <c r="F287" i="11"/>
  <c r="F35" i="11"/>
  <c r="F4" i="11"/>
  <c r="G4" i="11" s="1"/>
  <c r="F156" i="11"/>
  <c r="F65" i="11"/>
  <c r="F148" i="11"/>
  <c r="F202" i="11"/>
  <c r="F208" i="11"/>
  <c r="F19" i="11"/>
  <c r="F340" i="11"/>
  <c r="F206" i="11"/>
  <c r="F175" i="11"/>
  <c r="F80" i="11"/>
  <c r="F211" i="11"/>
  <c r="F354" i="11"/>
  <c r="F117" i="11"/>
  <c r="F230" i="11"/>
  <c r="F290" i="11"/>
  <c r="F215" i="11"/>
  <c r="F41" i="11"/>
  <c r="F159" i="11"/>
  <c r="F138" i="11"/>
  <c r="F149" i="11"/>
  <c r="F335" i="11"/>
  <c r="F334" i="11"/>
  <c r="F36" i="11"/>
  <c r="F108" i="11"/>
  <c r="F153" i="11"/>
  <c r="F121" i="11"/>
  <c r="F209" i="11"/>
  <c r="F330" i="11"/>
  <c r="F142" i="11"/>
  <c r="F77" i="11"/>
  <c r="F174" i="11"/>
  <c r="F346" i="11"/>
  <c r="F355" i="11"/>
  <c r="F260" i="11"/>
  <c r="F272" i="11"/>
  <c r="F258" i="11"/>
  <c r="F321" i="11"/>
  <c r="F5" i="11"/>
  <c r="F324" i="11"/>
  <c r="F89" i="11"/>
  <c r="F274" i="11"/>
  <c r="F264" i="11"/>
  <c r="F186" i="11"/>
  <c r="F26" i="11"/>
  <c r="F197" i="11"/>
  <c r="F305" i="11"/>
  <c r="F276" i="11"/>
  <c r="F14" i="11"/>
  <c r="F64" i="11"/>
  <c r="F261" i="11"/>
  <c r="F123" i="11"/>
  <c r="F95" i="11"/>
  <c r="F8" i="11"/>
  <c r="F25" i="11"/>
  <c r="F52" i="11"/>
  <c r="F220" i="11"/>
  <c r="F57" i="11"/>
  <c r="F312" i="11"/>
  <c r="F267" i="11"/>
  <c r="F162" i="11"/>
  <c r="F329" i="11"/>
  <c r="F130" i="11"/>
  <c r="F34" i="11"/>
  <c r="F10" i="11"/>
  <c r="F194" i="11"/>
  <c r="F271" i="11"/>
  <c r="F317" i="11"/>
  <c r="F75" i="11"/>
  <c r="F150" i="11"/>
  <c r="F120" i="11"/>
  <c r="F252" i="11"/>
  <c r="F154" i="11"/>
  <c r="F333" i="11"/>
  <c r="F60" i="11"/>
  <c r="F243" i="11"/>
  <c r="F268" i="11"/>
  <c r="F326" i="11"/>
  <c r="F78" i="11"/>
  <c r="F201" i="11"/>
  <c r="F233" i="11"/>
  <c r="F71" i="11"/>
  <c r="F141" i="11"/>
  <c r="F195" i="11"/>
  <c r="F237" i="11"/>
  <c r="F94" i="11"/>
  <c r="F250" i="11"/>
  <c r="F11" i="11"/>
  <c r="F84" i="11"/>
  <c r="F298" i="11"/>
  <c r="F224" i="11"/>
  <c r="F179" i="11"/>
  <c r="F158" i="11"/>
  <c r="F291" i="11"/>
  <c r="F192" i="11"/>
  <c r="F238" i="11"/>
  <c r="F135" i="11"/>
  <c r="F68" i="11"/>
  <c r="F297" i="11"/>
  <c r="F167" i="11"/>
  <c r="F105" i="11"/>
  <c r="F242" i="11"/>
  <c r="F295" i="11"/>
  <c r="F292" i="11"/>
  <c r="F203" i="11"/>
  <c r="F296" i="11"/>
  <c r="F146" i="11"/>
  <c r="F15" i="11"/>
  <c r="F37" i="11"/>
  <c r="F299" i="11"/>
  <c r="F178" i="11"/>
  <c r="F155" i="11"/>
  <c r="F42" i="11"/>
  <c r="F338" i="11"/>
  <c r="F134" i="11"/>
  <c r="F23" i="11"/>
  <c r="F79" i="11"/>
  <c r="F361" i="11"/>
  <c r="F97" i="11"/>
  <c r="F7" i="11"/>
  <c r="F351" i="11"/>
  <c r="F240" i="11"/>
  <c r="F58" i="11"/>
  <c r="F140" i="11"/>
  <c r="F125" i="11"/>
  <c r="F277" i="11"/>
  <c r="F91" i="11"/>
  <c r="F171" i="11"/>
  <c r="F288" i="11"/>
  <c r="F266" i="11"/>
  <c r="F216" i="11"/>
  <c r="F341" i="11"/>
  <c r="F185" i="11"/>
  <c r="F43" i="11"/>
  <c r="F342" i="11"/>
  <c r="F70" i="11"/>
  <c r="F144" i="11"/>
  <c r="F283" i="11"/>
  <c r="F219" i="11"/>
  <c r="F18" i="11"/>
  <c r="F284" i="11"/>
  <c r="F169" i="11"/>
  <c r="F115" i="11"/>
  <c r="F336" i="11"/>
  <c r="F176" i="11"/>
  <c r="F319" i="11"/>
  <c r="F196" i="11"/>
  <c r="F189" i="11"/>
  <c r="F294" i="11"/>
  <c r="F223" i="11"/>
  <c r="F53" i="11"/>
  <c r="F114" i="11"/>
  <c r="F193" i="11"/>
  <c r="F157" i="11"/>
  <c r="F66" i="11"/>
  <c r="F307" i="11"/>
  <c r="F256" i="11"/>
  <c r="F59" i="11"/>
  <c r="F110" i="11"/>
  <c r="F327" i="11"/>
  <c r="I27" i="10"/>
  <c r="I26" i="10"/>
  <c r="X19" i="8"/>
  <c r="Z19" i="8" s="1"/>
  <c r="X7" i="8"/>
  <c r="Z7" i="8" s="1"/>
  <c r="X18" i="8"/>
  <c r="Z18" i="8" s="1"/>
  <c r="X17" i="8"/>
  <c r="Z17" i="8" s="1"/>
  <c r="X36" i="8"/>
  <c r="X16" i="8"/>
  <c r="Z16" i="8" s="1"/>
  <c r="X35" i="8"/>
  <c r="X15" i="8"/>
  <c r="Z15" i="8" s="1"/>
  <c r="X34" i="8"/>
  <c r="X14" i="8"/>
  <c r="Z14" i="8" s="1"/>
  <c r="X33" i="8"/>
  <c r="X13" i="8"/>
  <c r="Z13" i="8" s="1"/>
  <c r="X32" i="8"/>
  <c r="X12" i="8"/>
  <c r="Z12" i="8" s="1"/>
  <c r="X31" i="8"/>
  <c r="X11" i="8"/>
  <c r="Z11" i="8" s="1"/>
  <c r="X30" i="8"/>
  <c r="X10" i="8"/>
  <c r="Z10" i="8" s="1"/>
  <c r="X29" i="8"/>
  <c r="X9" i="8"/>
  <c r="Z9" i="8" s="1"/>
  <c r="X28" i="8"/>
  <c r="X8" i="8"/>
  <c r="Z8" i="8" s="1"/>
  <c r="X27" i="8"/>
  <c r="X26" i="8"/>
  <c r="X25" i="8"/>
  <c r="X24" i="8"/>
  <c r="X23" i="8"/>
  <c r="X22" i="8"/>
  <c r="X21" i="8"/>
  <c r="Z21" i="8" s="1"/>
  <c r="X20" i="8"/>
  <c r="Z20" i="8" s="1"/>
  <c r="H25" i="10"/>
  <c r="E28" i="11"/>
  <c r="E29" i="11" s="1"/>
  <c r="E30" i="11" s="1"/>
  <c r="E31" i="11" s="1"/>
  <c r="E32" i="11" s="1"/>
  <c r="E33" i="11" s="1"/>
  <c r="E34" i="11" s="1"/>
  <c r="E35" i="11" s="1"/>
  <c r="E36" i="11" s="1"/>
  <c r="E37" i="11" s="1"/>
  <c r="E38" i="11" s="1"/>
  <c r="E39" i="11" s="1"/>
  <c r="U8" i="10"/>
  <c r="N8" i="10" s="1"/>
  <c r="H37" i="6"/>
  <c r="D40" i="6"/>
  <c r="S16" i="6" s="1"/>
  <c r="R25" i="6"/>
  <c r="R36" i="6"/>
  <c r="R31" i="6"/>
  <c r="R11" i="6"/>
  <c r="R18" i="6"/>
  <c r="R27" i="6"/>
  <c r="R19" i="6"/>
  <c r="R14" i="6"/>
  <c r="R16" i="6"/>
  <c r="R12" i="6"/>
  <c r="R35" i="6"/>
  <c r="R21" i="6"/>
  <c r="R20" i="6"/>
  <c r="R17" i="6"/>
  <c r="R26" i="6"/>
  <c r="R10" i="6"/>
  <c r="R29" i="6"/>
  <c r="R34" i="6"/>
  <c r="R8" i="6"/>
  <c r="R7" i="6"/>
  <c r="R22" i="6"/>
  <c r="R30" i="6"/>
  <c r="R32" i="6"/>
  <c r="R13" i="6"/>
  <c r="R9" i="6"/>
  <c r="R33" i="6"/>
  <c r="R23" i="6"/>
  <c r="R15" i="6"/>
  <c r="R28" i="6"/>
  <c r="R24" i="6"/>
  <c r="G5" i="11" l="1"/>
  <c r="G6" i="11" s="1"/>
  <c r="G7" i="11" s="1"/>
  <c r="G8" i="11" s="1"/>
  <c r="G9" i="11" s="1"/>
  <c r="G10" i="11" s="1"/>
  <c r="G11" i="11" s="1"/>
  <c r="G12" i="11" s="1"/>
  <c r="G13" i="11" s="1"/>
  <c r="G14" i="11" s="1"/>
  <c r="G15" i="11" s="1"/>
  <c r="G16" i="11" s="1"/>
  <c r="G17" i="11" s="1"/>
  <c r="G18" i="11" s="1"/>
  <c r="G19" i="11" s="1"/>
  <c r="G20" i="11" s="1"/>
  <c r="G21" i="11" s="1"/>
  <c r="G22" i="11" s="1"/>
  <c r="G23" i="11" s="1"/>
  <c r="G24" i="11" s="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45" i="11" s="1"/>
  <c r="G46" i="11" s="1"/>
  <c r="G47" i="11" s="1"/>
  <c r="G48" i="11" s="1"/>
  <c r="G49" i="11" s="1"/>
  <c r="G50" i="11" s="1"/>
  <c r="G51" i="11" s="1"/>
  <c r="G52" i="11" s="1"/>
  <c r="G53" i="11" s="1"/>
  <c r="G54" i="11" s="1"/>
  <c r="G55" i="11" s="1"/>
  <c r="G56" i="11" s="1"/>
  <c r="G57" i="11" s="1"/>
  <c r="G58" i="11" s="1"/>
  <c r="G59" i="11" s="1"/>
  <c r="G60" i="11" s="1"/>
  <c r="G61" i="11" s="1"/>
  <c r="G62" i="11" s="1"/>
  <c r="G63" i="11" s="1"/>
  <c r="G64" i="11" s="1"/>
  <c r="G65" i="11" s="1"/>
  <c r="G66" i="11" s="1"/>
  <c r="G67" i="11" s="1"/>
  <c r="G68" i="11" s="1"/>
  <c r="G69" i="11" s="1"/>
  <c r="G70" i="11" s="1"/>
  <c r="G71" i="11" s="1"/>
  <c r="G72" i="11" s="1"/>
  <c r="G73" i="11" s="1"/>
  <c r="G74" i="11" s="1"/>
  <c r="G75" i="11" s="1"/>
  <c r="G76" i="11" s="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H34" i="10" s="1"/>
  <c r="E21" i="12" s="1"/>
  <c r="H27" i="10"/>
  <c r="D28" i="10" s="1"/>
  <c r="H26" i="10"/>
  <c r="W25" i="10"/>
  <c r="W26" i="10"/>
  <c r="W7" i="10"/>
  <c r="W27" i="10"/>
  <c r="W8" i="10"/>
  <c r="W28" i="10"/>
  <c r="W9" i="10"/>
  <c r="W29" i="10"/>
  <c r="W10" i="10"/>
  <c r="W30" i="10"/>
  <c r="W11" i="10"/>
  <c r="W31" i="10"/>
  <c r="W12" i="10"/>
  <c r="W32" i="10"/>
  <c r="W33" i="10"/>
  <c r="W14" i="10"/>
  <c r="W34" i="10"/>
  <c r="W15" i="10"/>
  <c r="W35" i="10"/>
  <c r="W16" i="10"/>
  <c r="W36" i="10"/>
  <c r="W17" i="10"/>
  <c r="W18" i="10"/>
  <c r="W19" i="10"/>
  <c r="W20" i="10"/>
  <c r="W21" i="10"/>
  <c r="W22" i="10"/>
  <c r="W24" i="10"/>
  <c r="W23" i="10"/>
  <c r="W13" i="10"/>
  <c r="C167" i="4"/>
  <c r="B127" i="4"/>
  <c r="C355" i="4"/>
  <c r="C148" i="4"/>
  <c r="B326" i="4"/>
  <c r="B83" i="4"/>
  <c r="B268" i="4"/>
  <c r="C166" i="4"/>
  <c r="C271" i="4"/>
  <c r="B280" i="4"/>
  <c r="B71" i="4"/>
  <c r="B6" i="4"/>
  <c r="B346" i="4"/>
  <c r="C219" i="4"/>
  <c r="C259" i="4"/>
  <c r="C353" i="4"/>
  <c r="B271" i="4"/>
  <c r="C125" i="4"/>
  <c r="S18" i="6"/>
  <c r="C322" i="4"/>
  <c r="C204" i="4"/>
  <c r="C296" i="4"/>
  <c r="C295" i="4"/>
  <c r="B143" i="4"/>
  <c r="B75" i="4"/>
  <c r="B53" i="4"/>
  <c r="B112" i="4"/>
  <c r="B224" i="4"/>
  <c r="C317" i="4"/>
  <c r="B105" i="4"/>
  <c r="S23" i="6"/>
  <c r="B353" i="4"/>
  <c r="C199" i="4"/>
  <c r="B197" i="4"/>
  <c r="B341" i="4"/>
  <c r="C44" i="4"/>
  <c r="C291" i="4"/>
  <c r="C184" i="4"/>
  <c r="C258" i="4"/>
  <c r="C153" i="4"/>
  <c r="C12" i="4"/>
  <c r="C267" i="4"/>
  <c r="B347" i="4"/>
  <c r="C45" i="4"/>
  <c r="B216" i="4"/>
  <c r="B96" i="4"/>
  <c r="C15" i="4"/>
  <c r="B258" i="4"/>
  <c r="C143" i="4"/>
  <c r="B102" i="4"/>
  <c r="C26" i="4"/>
  <c r="C363" i="4"/>
  <c r="C52" i="4"/>
  <c r="C69" i="4"/>
  <c r="C361" i="4"/>
  <c r="C112" i="4"/>
  <c r="C315" i="4"/>
  <c r="C27" i="4"/>
  <c r="C334" i="4"/>
  <c r="C320" i="4"/>
  <c r="B121" i="4"/>
  <c r="C203" i="4"/>
  <c r="C193" i="4"/>
  <c r="B340" i="4"/>
  <c r="C55" i="4"/>
  <c r="C136" i="4"/>
  <c r="B362" i="4"/>
  <c r="B331" i="4"/>
  <c r="C303" i="4"/>
  <c r="C265" i="4"/>
  <c r="S20" i="6"/>
  <c r="B82" i="4"/>
  <c r="C152" i="4"/>
  <c r="B315" i="4"/>
  <c r="C4" i="4"/>
  <c r="C360" i="4"/>
  <c r="B120" i="4"/>
  <c r="B11" i="4"/>
  <c r="B261" i="4"/>
  <c r="C175" i="4"/>
  <c r="B95" i="4"/>
  <c r="C62" i="4"/>
  <c r="C302" i="4"/>
  <c r="S7" i="6"/>
  <c r="C173" i="4"/>
  <c r="B164" i="4"/>
  <c r="C326" i="4"/>
  <c r="C285" i="4"/>
  <c r="B10" i="4"/>
  <c r="C24" i="4"/>
  <c r="C83" i="4"/>
  <c r="B136" i="4"/>
  <c r="C298" i="4"/>
  <c r="S14" i="6"/>
  <c r="B253" i="4"/>
  <c r="B25" i="4"/>
  <c r="B32" i="4"/>
  <c r="C309" i="4"/>
  <c r="C161" i="4"/>
  <c r="C230" i="4"/>
  <c r="B262" i="4"/>
  <c r="B241" i="4"/>
  <c r="B281" i="4"/>
  <c r="C176" i="4"/>
  <c r="C60" i="4"/>
  <c r="C11" i="4"/>
  <c r="B259" i="4"/>
  <c r="B109" i="4"/>
  <c r="D43" i="6"/>
  <c r="E43" i="6" s="1"/>
  <c r="E45" i="6" s="1"/>
  <c r="E48" i="6" s="1"/>
  <c r="E55" i="6" s="1"/>
  <c r="H45" i="6" s="1"/>
  <c r="B295" i="4"/>
  <c r="C92" i="4"/>
  <c r="B205" i="4"/>
  <c r="B37" i="4"/>
  <c r="B245" i="4"/>
  <c r="B323" i="4"/>
  <c r="B343" i="4"/>
  <c r="B339" i="4"/>
  <c r="B77" i="4"/>
  <c r="C297" i="4"/>
  <c r="B140" i="4"/>
  <c r="B319" i="4"/>
  <c r="C66" i="4"/>
  <c r="B65" i="4"/>
  <c r="C231" i="4"/>
  <c r="C287" i="4"/>
  <c r="B137" i="4"/>
  <c r="B252" i="4"/>
  <c r="B254" i="4"/>
  <c r="B15" i="4"/>
  <c r="B46" i="4"/>
  <c r="C239" i="4"/>
  <c r="B72" i="4"/>
  <c r="B142" i="4"/>
  <c r="B356" i="4"/>
  <c r="C127" i="4"/>
  <c r="C223" i="4"/>
  <c r="B351" i="4"/>
  <c r="C40" i="4"/>
  <c r="C73" i="4"/>
  <c r="S8" i="6"/>
  <c r="B284" i="4"/>
  <c r="B276" i="4"/>
  <c r="C308" i="4"/>
  <c r="C311" i="4"/>
  <c r="B91" i="4"/>
  <c r="C293" i="4"/>
  <c r="B269" i="4"/>
  <c r="C189" i="4"/>
  <c r="C87" i="4"/>
  <c r="C67" i="4"/>
  <c r="B89" i="4"/>
  <c r="C157" i="4"/>
  <c r="C213" i="4"/>
  <c r="C163" i="4"/>
  <c r="C135" i="4"/>
  <c r="S35" i="6"/>
  <c r="B211" i="4"/>
  <c r="B100" i="4"/>
  <c r="C359" i="4"/>
  <c r="C180" i="4"/>
  <c r="C208" i="4"/>
  <c r="C236" i="4"/>
  <c r="B337" i="4"/>
  <c r="B214" i="4"/>
  <c r="B342" i="4"/>
  <c r="C123" i="4"/>
  <c r="C9" i="4"/>
  <c r="C97" i="4"/>
  <c r="S33" i="6"/>
  <c r="B151" i="4"/>
  <c r="C23" i="4"/>
  <c r="B233" i="4"/>
  <c r="C319" i="4"/>
  <c r="C299" i="4"/>
  <c r="S10" i="6"/>
  <c r="B250" i="4"/>
  <c r="C327" i="4"/>
  <c r="C159" i="4"/>
  <c r="B119" i="4"/>
  <c r="C307" i="4"/>
  <c r="B129" i="4"/>
  <c r="H43" i="8"/>
  <c r="B355" i="4"/>
  <c r="B30" i="4"/>
  <c r="B88" i="4"/>
  <c r="B195" i="4"/>
  <c r="C171" i="4"/>
  <c r="C284" i="4"/>
  <c r="C124" i="4"/>
  <c r="B345" i="4"/>
  <c r="B16" i="4"/>
  <c r="B181" i="4"/>
  <c r="C17" i="4"/>
  <c r="B180" i="4"/>
  <c r="C207" i="4"/>
  <c r="C316" i="4"/>
  <c r="C58" i="4"/>
  <c r="B154" i="4"/>
  <c r="B134" i="4"/>
  <c r="S31" i="6"/>
  <c r="B286" i="4"/>
  <c r="B231" i="4"/>
  <c r="C237" i="4"/>
  <c r="B294" i="4"/>
  <c r="B50" i="4"/>
  <c r="C226" i="4"/>
  <c r="B300" i="4"/>
  <c r="B196" i="4"/>
  <c r="B352" i="4"/>
  <c r="B320" i="4"/>
  <c r="S24" i="6"/>
  <c r="B240" i="4"/>
  <c r="C174" i="4"/>
  <c r="C42" i="4"/>
  <c r="C50" i="4"/>
  <c r="C257" i="4"/>
  <c r="S29" i="6"/>
  <c r="B158" i="4"/>
  <c r="B156" i="4"/>
  <c r="C337" i="4"/>
  <c r="C242" i="4"/>
  <c r="C206" i="4"/>
  <c r="C76" i="4"/>
  <c r="C34" i="4"/>
  <c r="C186" i="4"/>
  <c r="B183" i="4"/>
  <c r="B360" i="4"/>
  <c r="C106" i="4"/>
  <c r="C300" i="4"/>
  <c r="B328" i="4"/>
  <c r="B47" i="4"/>
  <c r="C357" i="4"/>
  <c r="B108" i="4"/>
  <c r="B153" i="4"/>
  <c r="C248" i="4"/>
  <c r="B209" i="4"/>
  <c r="B168" i="4"/>
  <c r="C89" i="4"/>
  <c r="B63" i="4"/>
  <c r="B264" i="4"/>
  <c r="B21" i="4"/>
  <c r="B225" i="4"/>
  <c r="S28" i="6"/>
  <c r="B171" i="4"/>
  <c r="C201" i="4"/>
  <c r="C352" i="4"/>
  <c r="C289" i="4"/>
  <c r="C7" i="4"/>
  <c r="C253" i="4"/>
  <c r="B43" i="4"/>
  <c r="B313" i="4"/>
  <c r="B44" i="4"/>
  <c r="C29" i="4"/>
  <c r="B22" i="4"/>
  <c r="C115" i="4"/>
  <c r="B24" i="4"/>
  <c r="C162" i="4"/>
  <c r="B242" i="4"/>
  <c r="B124" i="4"/>
  <c r="B116" i="4"/>
  <c r="B335" i="4"/>
  <c r="B93" i="4"/>
  <c r="C32" i="4"/>
  <c r="C111" i="4"/>
  <c r="B266" i="4"/>
  <c r="B60" i="4"/>
  <c r="C98" i="4"/>
  <c r="B20" i="4"/>
  <c r="B45" i="4"/>
  <c r="C25" i="4"/>
  <c r="B229" i="4"/>
  <c r="B122" i="4"/>
  <c r="B178" i="4"/>
  <c r="B306" i="4"/>
  <c r="S32" i="6"/>
  <c r="B34" i="4"/>
  <c r="B279" i="4"/>
  <c r="C38" i="4"/>
  <c r="B5" i="4"/>
  <c r="B132" i="4"/>
  <c r="C211" i="4"/>
  <c r="C263" i="4"/>
  <c r="C160" i="4"/>
  <c r="C288" i="4"/>
  <c r="C356" i="4"/>
  <c r="C275" i="4"/>
  <c r="B29" i="4"/>
  <c r="B55" i="4"/>
  <c r="B28" i="4"/>
  <c r="B324" i="4"/>
  <c r="B148" i="4"/>
  <c r="B204" i="4"/>
  <c r="B309" i="4"/>
  <c r="B222" i="4"/>
  <c r="B237" i="4"/>
  <c r="C305" i="4"/>
  <c r="B223" i="4"/>
  <c r="B321" i="4"/>
  <c r="B212" i="4"/>
  <c r="B220" i="4"/>
  <c r="C36" i="4"/>
  <c r="C268" i="4"/>
  <c r="C110" i="4"/>
  <c r="C350" i="4"/>
  <c r="B160" i="4"/>
  <c r="C282" i="4"/>
  <c r="C286" i="4"/>
  <c r="B169" i="4"/>
  <c r="C183" i="4"/>
  <c r="B98" i="4"/>
  <c r="B19" i="4"/>
  <c r="B357" i="4"/>
  <c r="D357" i="4" s="1"/>
  <c r="B61" i="4"/>
  <c r="C304" i="4"/>
  <c r="C210" i="4"/>
  <c r="B176" i="4"/>
  <c r="C146" i="4"/>
  <c r="B208" i="4"/>
  <c r="B226" i="4"/>
  <c r="B334" i="4"/>
  <c r="C238" i="4"/>
  <c r="C273" i="4"/>
  <c r="C196" i="4"/>
  <c r="B260" i="4"/>
  <c r="B221" i="4"/>
  <c r="B182" i="4"/>
  <c r="B251" i="4"/>
  <c r="B296" i="4"/>
  <c r="B297" i="4"/>
  <c r="B62" i="4"/>
  <c r="B193" i="4"/>
  <c r="C117" i="4"/>
  <c r="B31" i="4"/>
  <c r="C252" i="4"/>
  <c r="C86" i="4"/>
  <c r="C228" i="4"/>
  <c r="B186" i="4"/>
  <c r="C169" i="4"/>
  <c r="C140" i="4"/>
  <c r="B307" i="4"/>
  <c r="B152" i="4"/>
  <c r="C33" i="4"/>
  <c r="C105" i="4"/>
  <c r="C70" i="4"/>
  <c r="C224" i="4"/>
  <c r="C118" i="4"/>
  <c r="S25" i="6"/>
  <c r="C47" i="4"/>
  <c r="B283" i="4"/>
  <c r="C274" i="4"/>
  <c r="B92" i="4"/>
  <c r="C235" i="4"/>
  <c r="B198" i="4"/>
  <c r="B219" i="4"/>
  <c r="B246" i="4"/>
  <c r="C39" i="4"/>
  <c r="C14" i="4"/>
  <c r="C145" i="4"/>
  <c r="C142" i="4"/>
  <c r="B113" i="4"/>
  <c r="B359" i="4"/>
  <c r="B35" i="4"/>
  <c r="B230" i="4"/>
  <c r="C338" i="4"/>
  <c r="B305" i="4"/>
  <c r="C187" i="4"/>
  <c r="B86" i="4"/>
  <c r="B287" i="4"/>
  <c r="C82" i="4"/>
  <c r="B49" i="4"/>
  <c r="B236" i="4"/>
  <c r="B257" i="4"/>
  <c r="B94" i="4"/>
  <c r="B304" i="4"/>
  <c r="C109" i="4"/>
  <c r="S36" i="6"/>
  <c r="C200" i="4"/>
  <c r="B265" i="4"/>
  <c r="C294" i="4"/>
  <c r="C260" i="4"/>
  <c r="B41" i="4"/>
  <c r="B202" i="4"/>
  <c r="C35" i="4"/>
  <c r="C225" i="4"/>
  <c r="C99" i="4"/>
  <c r="C56" i="4"/>
  <c r="B59" i="4"/>
  <c r="C37" i="4"/>
  <c r="B117" i="4"/>
  <c r="C137" i="4"/>
  <c r="B125" i="4"/>
  <c r="C132" i="4"/>
  <c r="C261" i="4"/>
  <c r="C216" i="4"/>
  <c r="C240" i="4"/>
  <c r="S19" i="6"/>
  <c r="B78" i="4"/>
  <c r="B74" i="4"/>
  <c r="B179" i="4"/>
  <c r="C88" i="4"/>
  <c r="S17" i="6"/>
  <c r="C141" i="4"/>
  <c r="C120" i="4"/>
  <c r="C272" i="4"/>
  <c r="C80" i="4"/>
  <c r="C95" i="4"/>
  <c r="B13" i="4"/>
  <c r="B111" i="4"/>
  <c r="C241" i="4"/>
  <c r="C254" i="4"/>
  <c r="C330" i="4"/>
  <c r="C229" i="4"/>
  <c r="C250" i="4"/>
  <c r="C331" i="4"/>
  <c r="C188" i="4"/>
  <c r="B338" i="4"/>
  <c r="B332" i="4"/>
  <c r="B126" i="4"/>
  <c r="C71" i="4"/>
  <c r="C28" i="4"/>
  <c r="B206" i="4"/>
  <c r="C114" i="4"/>
  <c r="B201" i="4"/>
  <c r="B162" i="4"/>
  <c r="C30" i="4"/>
  <c r="S12" i="6"/>
  <c r="C220" i="4"/>
  <c r="C151" i="4"/>
  <c r="B147" i="4"/>
  <c r="C349" i="4"/>
  <c r="C134" i="4"/>
  <c r="B36" i="4"/>
  <c r="B69" i="4"/>
  <c r="B191" i="4"/>
  <c r="C96" i="4"/>
  <c r="C262" i="4"/>
  <c r="C306" i="4"/>
  <c r="C313" i="4"/>
  <c r="C264" i="4"/>
  <c r="B146" i="4"/>
  <c r="B42" i="4"/>
  <c r="B228" i="4"/>
  <c r="C178" i="4"/>
  <c r="C121" i="4"/>
  <c r="C144" i="4"/>
  <c r="C179" i="4"/>
  <c r="C197" i="4"/>
  <c r="B277" i="4"/>
  <c r="B325" i="4"/>
  <c r="C85" i="4"/>
  <c r="C72" i="4"/>
  <c r="C49" i="4"/>
  <c r="C172" i="4"/>
  <c r="B314" i="4"/>
  <c r="B278" i="4"/>
  <c r="B192" i="4"/>
  <c r="C251" i="4"/>
  <c r="S26" i="6"/>
  <c r="C218" i="4"/>
  <c r="C181" i="4"/>
  <c r="B145" i="4"/>
  <c r="C165" i="4"/>
  <c r="B185" i="4"/>
  <c r="B135" i="4"/>
  <c r="C212" i="4"/>
  <c r="B175" i="4"/>
  <c r="C351" i="4"/>
  <c r="C53" i="4"/>
  <c r="C278" i="4"/>
  <c r="B70" i="4"/>
  <c r="B51" i="4"/>
  <c r="B273" i="4"/>
  <c r="B301" i="4"/>
  <c r="C321" i="4"/>
  <c r="C310" i="4"/>
  <c r="C191" i="4"/>
  <c r="C346" i="4"/>
  <c r="B232" i="4"/>
  <c r="C57" i="4"/>
  <c r="C279" i="4"/>
  <c r="C22" i="4"/>
  <c r="C48" i="4"/>
  <c r="B322" i="4"/>
  <c r="C190" i="4"/>
  <c r="B275" i="4"/>
  <c r="C93" i="4"/>
  <c r="C232" i="4"/>
  <c r="B40" i="4"/>
  <c r="B144" i="4"/>
  <c r="B330" i="4"/>
  <c r="B118" i="4"/>
  <c r="B115" i="4"/>
  <c r="C358" i="4"/>
  <c r="B33" i="4"/>
  <c r="B350" i="4"/>
  <c r="B138" i="4"/>
  <c r="C221" i="4"/>
  <c r="B289" i="4"/>
  <c r="B310" i="4"/>
  <c r="B85" i="4"/>
  <c r="B354" i="4"/>
  <c r="B4" i="4"/>
  <c r="C94" i="4"/>
  <c r="B263" i="4"/>
  <c r="C340" i="4"/>
  <c r="B167" i="4"/>
  <c r="C269" i="4"/>
  <c r="B239" i="4"/>
  <c r="C215" i="4"/>
  <c r="B217" i="4"/>
  <c r="B194" i="4"/>
  <c r="C325" i="4"/>
  <c r="C8" i="4"/>
  <c r="B128" i="4"/>
  <c r="C247" i="4"/>
  <c r="C341" i="4"/>
  <c r="B270" i="4"/>
  <c r="C131" i="4"/>
  <c r="B26" i="4"/>
  <c r="B358" i="4"/>
  <c r="C78" i="4"/>
  <c r="B344" i="4"/>
  <c r="B56" i="4"/>
  <c r="B139" i="4"/>
  <c r="B48" i="4"/>
  <c r="B76" i="4"/>
  <c r="C65" i="4"/>
  <c r="B292" i="4"/>
  <c r="B333" i="4"/>
  <c r="C150" i="4"/>
  <c r="C185" i="4"/>
  <c r="C217" i="4"/>
  <c r="B285" i="4"/>
  <c r="B170" i="4"/>
  <c r="B244" i="4"/>
  <c r="B150" i="4"/>
  <c r="B336" i="4"/>
  <c r="C318" i="4"/>
  <c r="B282" i="4"/>
  <c r="C147" i="4"/>
  <c r="C332" i="4"/>
  <c r="C5" i="4"/>
  <c r="C68" i="4"/>
  <c r="B107" i="4"/>
  <c r="C243" i="4"/>
  <c r="C149" i="4"/>
  <c r="B58" i="4"/>
  <c r="C323" i="4"/>
  <c r="B190" i="4"/>
  <c r="B291" i="4"/>
  <c r="B349" i="4"/>
  <c r="C222" i="4"/>
  <c r="B213" i="4"/>
  <c r="C343" i="4"/>
  <c r="B68" i="4"/>
  <c r="B348" i="4"/>
  <c r="C102" i="4"/>
  <c r="C20" i="4"/>
  <c r="C51" i="4"/>
  <c r="B311" i="4"/>
  <c r="C130" i="4"/>
  <c r="C202" i="4"/>
  <c r="C91" i="4"/>
  <c r="C347" i="4"/>
  <c r="C209" i="4"/>
  <c r="B104" i="4"/>
  <c r="B238" i="4"/>
  <c r="C16" i="4"/>
  <c r="C266" i="4"/>
  <c r="B290" i="4"/>
  <c r="B247" i="4"/>
  <c r="B130" i="4"/>
  <c r="B114" i="4"/>
  <c r="B235" i="4"/>
  <c r="B318" i="4"/>
  <c r="B97" i="4"/>
  <c r="C198" i="4"/>
  <c r="B67" i="4"/>
  <c r="B23" i="4"/>
  <c r="C182" i="4"/>
  <c r="C333" i="4"/>
  <c r="C77" i="4"/>
  <c r="B27" i="4"/>
  <c r="C21" i="4"/>
  <c r="C103" i="4"/>
  <c r="C280" i="4"/>
  <c r="B90" i="4"/>
  <c r="C276" i="4"/>
  <c r="B106" i="4"/>
  <c r="B81" i="4"/>
  <c r="B38" i="4"/>
  <c r="B177" i="4"/>
  <c r="B361" i="4"/>
  <c r="C79" i="4"/>
  <c r="B166" i="4"/>
  <c r="B110" i="4"/>
  <c r="C81" i="4"/>
  <c r="B73" i="4"/>
  <c r="B299" i="4"/>
  <c r="C113" i="4"/>
  <c r="D113" i="4" s="1"/>
  <c r="B8" i="4"/>
  <c r="C133" i="4"/>
  <c r="C13" i="4"/>
  <c r="C63" i="4"/>
  <c r="B188" i="4"/>
  <c r="C256" i="4"/>
  <c r="S22" i="6"/>
  <c r="B363" i="4"/>
  <c r="B18" i="4"/>
  <c r="B234" i="4"/>
  <c r="B249" i="4"/>
  <c r="B54" i="4"/>
  <c r="C46" i="4"/>
  <c r="C31" i="4"/>
  <c r="C336" i="4"/>
  <c r="B308" i="4"/>
  <c r="B66" i="4"/>
  <c r="B255" i="4"/>
  <c r="C104" i="4"/>
  <c r="B288" i="4"/>
  <c r="S11" i="6"/>
  <c r="B161" i="4"/>
  <c r="B57" i="4"/>
  <c r="B248" i="4"/>
  <c r="C155" i="4"/>
  <c r="B256" i="4"/>
  <c r="B101" i="4"/>
  <c r="C6" i="4"/>
  <c r="B133" i="4"/>
  <c r="S9" i="6"/>
  <c r="C75" i="4"/>
  <c r="C312" i="4"/>
  <c r="C292" i="4"/>
  <c r="C168" i="4"/>
  <c r="B14" i="4"/>
  <c r="C129" i="4"/>
  <c r="C43" i="4"/>
  <c r="B99" i="4"/>
  <c r="B173" i="4"/>
  <c r="B199" i="4"/>
  <c r="B79" i="4"/>
  <c r="C339" i="4"/>
  <c r="C59" i="4"/>
  <c r="B274" i="4"/>
  <c r="B184" i="4"/>
  <c r="B7" i="4"/>
  <c r="C344" i="4"/>
  <c r="B272" i="4"/>
  <c r="C119" i="4"/>
  <c r="B149" i="4"/>
  <c r="S15" i="6"/>
  <c r="C328" i="4"/>
  <c r="B218" i="4"/>
  <c r="B172" i="4"/>
  <c r="B103" i="4"/>
  <c r="B302" i="4"/>
  <c r="B215" i="4"/>
  <c r="C158" i="4"/>
  <c r="B200" i="4"/>
  <c r="S13" i="6"/>
  <c r="B243" i="4"/>
  <c r="C362" i="4"/>
  <c r="B9" i="4"/>
  <c r="C283" i="4"/>
  <c r="C156" i="4"/>
  <c r="C234" i="4"/>
  <c r="B39" i="4"/>
  <c r="C10" i="4"/>
  <c r="C128" i="4"/>
  <c r="B84" i="4"/>
  <c r="C170" i="4"/>
  <c r="B316" i="4"/>
  <c r="C100" i="4"/>
  <c r="C107" i="4"/>
  <c r="C122" i="4"/>
  <c r="C64" i="4"/>
  <c r="B293" i="4"/>
  <c r="B187" i="4"/>
  <c r="B159" i="4"/>
  <c r="B298" i="4"/>
  <c r="B123" i="4"/>
  <c r="C348" i="4"/>
  <c r="C61" i="4"/>
  <c r="B189" i="4"/>
  <c r="B87" i="4"/>
  <c r="C329" i="4"/>
  <c r="C18" i="3"/>
  <c r="C21" i="3" s="1"/>
  <c r="C23" i="3" s="1"/>
  <c r="C28" i="3" s="1"/>
  <c r="D36" i="10" s="1"/>
  <c r="B52" i="4"/>
  <c r="S27" i="6"/>
  <c r="C108" i="4"/>
  <c r="C214" i="4"/>
  <c r="B317" i="4"/>
  <c r="B207" i="4"/>
  <c r="B203" i="4"/>
  <c r="B17" i="4"/>
  <c r="B12" i="4"/>
  <c r="B327" i="4"/>
  <c r="B157" i="4"/>
  <c r="S21" i="6"/>
  <c r="C101" i="4"/>
  <c r="C154" i="4"/>
  <c r="C233" i="4"/>
  <c r="C195" i="4"/>
  <c r="C54" i="4"/>
  <c r="B131" i="4"/>
  <c r="B174" i="4"/>
  <c r="C194" i="4"/>
  <c r="C249" i="4"/>
  <c r="B163" i="4"/>
  <c r="B267" i="4"/>
  <c r="C324" i="4"/>
  <c r="C177" i="4"/>
  <c r="B80" i="4"/>
  <c r="C84" i="4"/>
  <c r="B165" i="4"/>
  <c r="C255" i="4"/>
  <c r="C18" i="4"/>
  <c r="C74" i="4"/>
  <c r="C301" i="4"/>
  <c r="C244" i="4"/>
  <c r="S34" i="6"/>
  <c r="C281" i="4"/>
  <c r="B155" i="4"/>
  <c r="C164" i="4"/>
  <c r="B312" i="4"/>
  <c r="B329" i="4"/>
  <c r="B303" i="4"/>
  <c r="C227" i="4"/>
  <c r="B227" i="4"/>
  <c r="C335" i="4"/>
  <c r="C90" i="4"/>
  <c r="B210" i="4"/>
  <c r="C192" i="4"/>
  <c r="B64" i="4"/>
  <c r="C342" i="4"/>
  <c r="B141" i="4"/>
  <c r="C246" i="4"/>
  <c r="C270" i="4"/>
  <c r="C116" i="4"/>
  <c r="C205" i="4"/>
  <c r="C277" i="4"/>
  <c r="C314" i="4"/>
  <c r="C138" i="4"/>
  <c r="C139" i="4"/>
  <c r="C19" i="4"/>
  <c r="S30" i="6"/>
  <c r="C126" i="4"/>
  <c r="C354" i="4"/>
  <c r="C345" i="4"/>
  <c r="C245" i="4"/>
  <c r="C41" i="4"/>
  <c r="C290" i="4"/>
  <c r="E40" i="11"/>
  <c r="E41" i="11" s="1"/>
  <c r="E42" i="11" s="1"/>
  <c r="E43" i="11" s="1"/>
  <c r="E44" i="11" s="1"/>
  <c r="E45" i="11" s="1"/>
  <c r="E46" i="11" s="1"/>
  <c r="E47" i="11" s="1"/>
  <c r="E48" i="11" s="1"/>
  <c r="E49" i="11" s="1"/>
  <c r="E50" i="11" s="1"/>
  <c r="E51" i="11" s="1"/>
  <c r="U9" i="10"/>
  <c r="N9" i="10" s="1"/>
  <c r="T13" i="6"/>
  <c r="V13" i="6" s="1"/>
  <c r="T19" i="6"/>
  <c r="V19" i="6" s="1"/>
  <c r="T14" i="6"/>
  <c r="V14" i="6" s="1"/>
  <c r="T16" i="6"/>
  <c r="V16" i="6" s="1"/>
  <c r="T12" i="6"/>
  <c r="V12" i="6" s="1"/>
  <c r="T8" i="6"/>
  <c r="V8" i="6" s="1"/>
  <c r="T28" i="6"/>
  <c r="V28" i="6" s="1"/>
  <c r="T9" i="6"/>
  <c r="V9" i="6" s="1"/>
  <c r="T11" i="6"/>
  <c r="V11" i="6" s="1"/>
  <c r="T31" i="6"/>
  <c r="V31" i="6" s="1"/>
  <c r="T10" i="6"/>
  <c r="V10" i="6" s="1"/>
  <c r="T29" i="6"/>
  <c r="V29" i="6" s="1"/>
  <c r="T34" i="6"/>
  <c r="V34" i="6" s="1"/>
  <c r="T21" i="6"/>
  <c r="T30" i="6"/>
  <c r="V30" i="6" s="1"/>
  <c r="T22" i="6"/>
  <c r="V22" i="6" s="1"/>
  <c r="T7" i="6"/>
  <c r="V7" i="6" s="1"/>
  <c r="T26" i="6"/>
  <c r="V26" i="6" s="1"/>
  <c r="T18" i="6"/>
  <c r="V18" i="6" s="1"/>
  <c r="T32" i="6"/>
  <c r="V32" i="6" s="1"/>
  <c r="T17" i="6"/>
  <c r="V17" i="6" s="1"/>
  <c r="T24" i="6"/>
  <c r="V24" i="6" s="1"/>
  <c r="T33" i="6"/>
  <c r="V33" i="6" s="1"/>
  <c r="T20" i="6"/>
  <c r="V20" i="6" s="1"/>
  <c r="T27" i="6"/>
  <c r="V27" i="6" s="1"/>
  <c r="T15" i="6"/>
  <c r="V15" i="6" s="1"/>
  <c r="T25" i="6"/>
  <c r="V25" i="6" s="1"/>
  <c r="T35" i="6"/>
  <c r="V35" i="6" s="1"/>
  <c r="T36" i="6"/>
  <c r="V36" i="6" s="1"/>
  <c r="T23" i="6"/>
  <c r="V23" i="6" s="1"/>
  <c r="V21" i="6" l="1"/>
  <c r="D92" i="4"/>
  <c r="D57" i="4"/>
  <c r="D263" i="4"/>
  <c r="D304" i="4"/>
  <c r="D121" i="4"/>
  <c r="D324" i="4"/>
  <c r="D347" i="4"/>
  <c r="D5" i="4"/>
  <c r="D340" i="4"/>
  <c r="D30" i="4"/>
  <c r="D88" i="4"/>
  <c r="D158" i="4"/>
  <c r="D202" i="4"/>
  <c r="D281" i="4"/>
  <c r="D69" i="4"/>
  <c r="D72" i="4"/>
  <c r="D167" i="4"/>
  <c r="D95" i="4"/>
  <c r="D31" i="8"/>
  <c r="C29" i="12"/>
  <c r="D326" i="4"/>
  <c r="D349" i="4"/>
  <c r="D250" i="4"/>
  <c r="D44" i="4"/>
  <c r="D219" i="4"/>
  <c r="D151" i="4"/>
  <c r="D164" i="4"/>
  <c r="D91" i="4"/>
  <c r="D361" i="4"/>
  <c r="D245" i="4"/>
  <c r="D345" i="4"/>
  <c r="D231" i="4"/>
  <c r="D343" i="4"/>
  <c r="D303" i="4"/>
  <c r="E28" i="12"/>
  <c r="D27" i="10"/>
  <c r="G184" i="11"/>
  <c r="G185" i="11" s="1"/>
  <c r="G186" i="11" s="1"/>
  <c r="G187" i="11" s="1"/>
  <c r="G188" i="11" s="1"/>
  <c r="G189" i="11" s="1"/>
  <c r="G190" i="11" s="1"/>
  <c r="G191" i="11" s="1"/>
  <c r="G192" i="11" s="1"/>
  <c r="G193" i="11" s="1"/>
  <c r="G194" i="11" s="1"/>
  <c r="G195" i="11" s="1"/>
  <c r="G196" i="11" s="1"/>
  <c r="G197" i="11" s="1"/>
  <c r="G198" i="11" s="1"/>
  <c r="G199" i="11" s="1"/>
  <c r="G200" i="11" s="1"/>
  <c r="G201" i="11" s="1"/>
  <c r="G202" i="11" s="1"/>
  <c r="G203" i="11" s="1"/>
  <c r="G204" i="11" s="1"/>
  <c r="G205" i="11" s="1"/>
  <c r="G206" i="11" s="1"/>
  <c r="G207" i="11" s="1"/>
  <c r="G208" i="11" s="1"/>
  <c r="G209" i="11" s="1"/>
  <c r="G210" i="11" s="1"/>
  <c r="G211" i="11" s="1"/>
  <c r="G212" i="11" s="1"/>
  <c r="G213" i="11" s="1"/>
  <c r="G214" i="11" s="1"/>
  <c r="G215" i="11" s="1"/>
  <c r="G216" i="11" s="1"/>
  <c r="G217" i="11" s="1"/>
  <c r="G218" i="11" s="1"/>
  <c r="G219" i="11" s="1"/>
  <c r="G220" i="11" s="1"/>
  <c r="G221" i="11" s="1"/>
  <c r="G222" i="11" s="1"/>
  <c r="G223" i="11" s="1"/>
  <c r="G224" i="11" s="1"/>
  <c r="G225" i="11" s="1"/>
  <c r="G226" i="11" s="1"/>
  <c r="G227" i="11" s="1"/>
  <c r="G228" i="11" s="1"/>
  <c r="G229" i="11" s="1"/>
  <c r="G230" i="11" s="1"/>
  <c r="G231" i="11" s="1"/>
  <c r="G232" i="11" s="1"/>
  <c r="G233" i="11" s="1"/>
  <c r="G234" i="11" s="1"/>
  <c r="G235" i="11" s="1"/>
  <c r="G236" i="11" s="1"/>
  <c r="G237" i="11" s="1"/>
  <c r="G238" i="11" s="1"/>
  <c r="G239" i="11" s="1"/>
  <c r="G240" i="11" s="1"/>
  <c r="G241" i="11" s="1"/>
  <c r="G242" i="11" s="1"/>
  <c r="G243" i="11" s="1"/>
  <c r="G244" i="11" s="1"/>
  <c r="G245" i="11" s="1"/>
  <c r="G246" i="11" s="1"/>
  <c r="G247" i="11" s="1"/>
  <c r="G248" i="11" s="1"/>
  <c r="G249" i="11" s="1"/>
  <c r="G250" i="11" s="1"/>
  <c r="G251" i="11" s="1"/>
  <c r="G252" i="11" s="1"/>
  <c r="G253" i="11" s="1"/>
  <c r="G254" i="11" s="1"/>
  <c r="G255" i="11" s="1"/>
  <c r="G256" i="11" s="1"/>
  <c r="G257" i="11" s="1"/>
  <c r="G258" i="11" s="1"/>
  <c r="G259" i="11" s="1"/>
  <c r="G260" i="11" s="1"/>
  <c r="G261" i="11" s="1"/>
  <c r="G262" i="11" s="1"/>
  <c r="G263" i="11" s="1"/>
  <c r="G264" i="11" s="1"/>
  <c r="G265" i="11" s="1"/>
  <c r="G266" i="11" s="1"/>
  <c r="G267" i="11" s="1"/>
  <c r="G268" i="11" s="1"/>
  <c r="G269" i="11" s="1"/>
  <c r="G270" i="11" s="1"/>
  <c r="G271" i="11" s="1"/>
  <c r="G272" i="11" s="1"/>
  <c r="G273" i="11" s="1"/>
  <c r="G274" i="11" s="1"/>
  <c r="G275" i="11" s="1"/>
  <c r="G276" i="11" s="1"/>
  <c r="G277" i="11" s="1"/>
  <c r="G278" i="11" s="1"/>
  <c r="G279" i="11" s="1"/>
  <c r="G280" i="11" s="1"/>
  <c r="G281" i="11" s="1"/>
  <c r="G282" i="11" s="1"/>
  <c r="G283" i="11" s="1"/>
  <c r="G284" i="11" s="1"/>
  <c r="G285" i="11" s="1"/>
  <c r="G286" i="11" s="1"/>
  <c r="G287" i="11" s="1"/>
  <c r="G288" i="11" s="1"/>
  <c r="G289" i="11" s="1"/>
  <c r="G290" i="11" s="1"/>
  <c r="G291" i="11" s="1"/>
  <c r="G292" i="11" s="1"/>
  <c r="G293" i="11" s="1"/>
  <c r="G294" i="11" s="1"/>
  <c r="G295" i="11" s="1"/>
  <c r="G296" i="11" s="1"/>
  <c r="G297" i="11" s="1"/>
  <c r="G298" i="11" s="1"/>
  <c r="G299" i="11" s="1"/>
  <c r="G300" i="11" s="1"/>
  <c r="G301" i="11" s="1"/>
  <c r="G302" i="11" s="1"/>
  <c r="G303" i="11" s="1"/>
  <c r="G304" i="11" s="1"/>
  <c r="G305" i="11" s="1"/>
  <c r="G306" i="11" s="1"/>
  <c r="G307" i="11" s="1"/>
  <c r="G308" i="11" s="1"/>
  <c r="G309" i="11" s="1"/>
  <c r="G310" i="11" s="1"/>
  <c r="G311" i="11" s="1"/>
  <c r="G312" i="11" s="1"/>
  <c r="G313" i="11" s="1"/>
  <c r="G314" i="11" s="1"/>
  <c r="G315" i="11" s="1"/>
  <c r="G316" i="11" s="1"/>
  <c r="G317" i="11" s="1"/>
  <c r="G318" i="11" s="1"/>
  <c r="G319" i="11" s="1"/>
  <c r="G320" i="11" s="1"/>
  <c r="G321" i="11" s="1"/>
  <c r="G322" i="11" s="1"/>
  <c r="G323" i="11" s="1"/>
  <c r="G324" i="11" s="1"/>
  <c r="G325" i="11" s="1"/>
  <c r="G326" i="11" s="1"/>
  <c r="G327" i="11" s="1"/>
  <c r="G328" i="11" s="1"/>
  <c r="G329" i="11" s="1"/>
  <c r="G330" i="11" s="1"/>
  <c r="G331" i="11" s="1"/>
  <c r="G332" i="11" s="1"/>
  <c r="G333" i="11" s="1"/>
  <c r="G334" i="11" s="1"/>
  <c r="G335" i="11" s="1"/>
  <c r="G336" i="11" s="1"/>
  <c r="G337" i="11" s="1"/>
  <c r="G338" i="11" s="1"/>
  <c r="G339" i="11" s="1"/>
  <c r="G340" i="11" s="1"/>
  <c r="G341" i="11" s="1"/>
  <c r="G342" i="11" s="1"/>
  <c r="G343" i="11" s="1"/>
  <c r="G344" i="11" s="1"/>
  <c r="G345" i="11" s="1"/>
  <c r="G346" i="11" s="1"/>
  <c r="G347" i="11" s="1"/>
  <c r="G348" i="11" s="1"/>
  <c r="G349" i="11" s="1"/>
  <c r="G350" i="11" s="1"/>
  <c r="G351" i="11" s="1"/>
  <c r="G352" i="11" s="1"/>
  <c r="G353" i="11" s="1"/>
  <c r="G354" i="11" s="1"/>
  <c r="G355" i="11" s="1"/>
  <c r="G356" i="11" s="1"/>
  <c r="G357" i="11" s="1"/>
  <c r="G358" i="11" s="1"/>
  <c r="G359" i="11" s="1"/>
  <c r="G360" i="11" s="1"/>
  <c r="G361" i="11" s="1"/>
  <c r="G362" i="11" s="1"/>
  <c r="G363" i="11" s="1"/>
  <c r="H37" i="10"/>
  <c r="D352" i="4"/>
  <c r="D74" i="4"/>
  <c r="D64" i="4"/>
  <c r="D341" i="4"/>
  <c r="D309" i="4"/>
  <c r="D315" i="4"/>
  <c r="D291" i="4"/>
  <c r="D82" i="4"/>
  <c r="D344" i="4"/>
  <c r="D238" i="4"/>
  <c r="D197" i="4"/>
  <c r="D13" i="4"/>
  <c r="D286" i="4"/>
  <c r="D15" i="4"/>
  <c r="D143" i="4"/>
  <c r="D139" i="4"/>
  <c r="D104" i="4"/>
  <c r="D93" i="4"/>
  <c r="D179" i="4"/>
  <c r="D282" i="4"/>
  <c r="D60" i="4"/>
  <c r="D355" i="4"/>
  <c r="D337" i="4"/>
  <c r="D356" i="4"/>
  <c r="D42" i="4"/>
  <c r="D246" i="4"/>
  <c r="D327" i="4"/>
  <c r="D198" i="4"/>
  <c r="D223" i="4"/>
  <c r="D66" i="4"/>
  <c r="D332" i="4"/>
  <c r="D78" i="4"/>
  <c r="D12" i="4"/>
  <c r="D302" i="4"/>
  <c r="D129" i="4"/>
  <c r="D308" i="4"/>
  <c r="D348" i="4"/>
  <c r="D262" i="4"/>
  <c r="D176" i="4"/>
  <c r="D77" i="4"/>
  <c r="D203" i="4"/>
  <c r="D33" i="4"/>
  <c r="D218" i="4"/>
  <c r="D358" i="4"/>
  <c r="D127" i="4"/>
  <c r="D204" i="4"/>
  <c r="D134" i="4"/>
  <c r="D319" i="4"/>
  <c r="D153" i="4"/>
  <c r="D11" i="4"/>
  <c r="D166" i="4"/>
  <c r="D271" i="4"/>
  <c r="D181" i="4"/>
  <c r="D236" i="4"/>
  <c r="D148" i="4"/>
  <c r="D37" i="4"/>
  <c r="D346" i="4"/>
  <c r="D351" i="4"/>
  <c r="D360" i="4"/>
  <c r="D259" i="4"/>
  <c r="D105" i="4"/>
  <c r="D228" i="4"/>
  <c r="D280" i="4"/>
  <c r="D55" i="4"/>
  <c r="D38" i="4"/>
  <c r="D320" i="4"/>
  <c r="D353" i="4"/>
  <c r="D126" i="4"/>
  <c r="D83" i="4"/>
  <c r="D39" i="4"/>
  <c r="D58" i="4"/>
  <c r="D86" i="4"/>
  <c r="D251" i="4"/>
  <c r="D175" i="4"/>
  <c r="D331" i="4"/>
  <c r="D258" i="4"/>
  <c r="D87" i="4"/>
  <c r="D184" i="4"/>
  <c r="D188" i="4"/>
  <c r="D209" i="4"/>
  <c r="D305" i="4"/>
  <c r="D50" i="4"/>
  <c r="D112" i="4"/>
  <c r="D135" i="4"/>
  <c r="D27" i="4"/>
  <c r="D322" i="4"/>
  <c r="D120" i="4"/>
  <c r="D32" i="4"/>
  <c r="D339" i="4"/>
  <c r="D4" i="4"/>
  <c r="D273" i="4"/>
  <c r="D268" i="4"/>
  <c r="D79" i="4"/>
  <c r="D130" i="4"/>
  <c r="D145" i="4"/>
  <c r="D199" i="4"/>
  <c r="D71" i="4"/>
  <c r="D189" i="4"/>
  <c r="D56" i="4"/>
  <c r="D65" i="4"/>
  <c r="D299" i="4"/>
  <c r="D157" i="4"/>
  <c r="D99" i="4"/>
  <c r="D255" i="4"/>
  <c r="D73" i="4"/>
  <c r="D208" i="4"/>
  <c r="D321" i="4"/>
  <c r="D140" i="4"/>
  <c r="D269" i="4"/>
  <c r="D293" i="4"/>
  <c r="D97" i="4"/>
  <c r="D342" i="4"/>
  <c r="D317" i="4"/>
  <c r="D214" i="4"/>
  <c r="D75" i="4"/>
  <c r="D247" i="4"/>
  <c r="D185" i="4"/>
  <c r="D125" i="4"/>
  <c r="D193" i="4"/>
  <c r="D229" i="4"/>
  <c r="D335" i="4"/>
  <c r="D108" i="4"/>
  <c r="D70" i="4"/>
  <c r="D137" i="4"/>
  <c r="D25" i="4"/>
  <c r="D328" i="4"/>
  <c r="D163" i="4"/>
  <c r="D119" i="4"/>
  <c r="D266" i="4"/>
  <c r="D144" i="4"/>
  <c r="D147" i="4"/>
  <c r="D241" i="4"/>
  <c r="D297" i="4"/>
  <c r="D28" i="4"/>
  <c r="D45" i="4"/>
  <c r="D253" i="4"/>
  <c r="D124" i="4"/>
  <c r="D89" i="4"/>
  <c r="D26" i="4"/>
  <c r="D224" i="4"/>
  <c r="D165" i="4"/>
  <c r="D237" i="4"/>
  <c r="D213" i="4"/>
  <c r="D152" i="4"/>
  <c r="D267" i="4"/>
  <c r="D84" i="4"/>
  <c r="D330" i="4"/>
  <c r="D254" i="4"/>
  <c r="D62" i="4"/>
  <c r="D43" i="4"/>
  <c r="D136" i="4"/>
  <c r="D10" i="4"/>
  <c r="D6" i="4"/>
  <c r="D276" i="4"/>
  <c r="D323" i="4"/>
  <c r="D40" i="4"/>
  <c r="D53" i="4"/>
  <c r="D277" i="4"/>
  <c r="D111" i="4"/>
  <c r="D287" i="4"/>
  <c r="D296" i="4"/>
  <c r="D169" i="4"/>
  <c r="D196" i="4"/>
  <c r="D284" i="4"/>
  <c r="D295" i="4"/>
  <c r="D300" i="4"/>
  <c r="D183" i="4"/>
  <c r="D275" i="4"/>
  <c r="D171" i="4"/>
  <c r="D45" i="6"/>
  <c r="D195" i="4"/>
  <c r="D9" i="4"/>
  <c r="D59" i="4"/>
  <c r="D201" i="4"/>
  <c r="D230" i="4"/>
  <c r="D233" i="4"/>
  <c r="D362" i="4"/>
  <c r="D161" i="4"/>
  <c r="D205" i="4"/>
  <c r="D123" i="4"/>
  <c r="D206" i="4"/>
  <c r="D359" i="4"/>
  <c r="D211" i="4"/>
  <c r="D298" i="4"/>
  <c r="D182" i="4"/>
  <c r="D311" i="4"/>
  <c r="D279" i="4"/>
  <c r="D260" i="4"/>
  <c r="D307" i="4"/>
  <c r="D334" i="4"/>
  <c r="D116" i="4"/>
  <c r="D301" i="4"/>
  <c r="D159" i="4"/>
  <c r="D200" i="4"/>
  <c r="D173" i="4"/>
  <c r="D23" i="4"/>
  <c r="D310" i="4"/>
  <c r="D294" i="4"/>
  <c r="D142" i="4"/>
  <c r="D226" i="4"/>
  <c r="D52" i="4"/>
  <c r="D363" i="4"/>
  <c r="D239" i="4"/>
  <c r="D47" i="4"/>
  <c r="D67" i="4"/>
  <c r="D20" i="4"/>
  <c r="D289" i="4"/>
  <c r="D265" i="4"/>
  <c r="D81" i="4"/>
  <c r="D102" i="4"/>
  <c r="D221" i="4"/>
  <c r="D138" i="4"/>
  <c r="D24" i="4"/>
  <c r="D103" i="4"/>
  <c r="D96" i="4"/>
  <c r="D109" i="4"/>
  <c r="D191" i="4"/>
  <c r="D216" i="4"/>
  <c r="D252" i="4"/>
  <c r="D180" i="4"/>
  <c r="D41" i="4"/>
  <c r="D100" i="4"/>
  <c r="D46" i="4"/>
  <c r="D285" i="4"/>
  <c r="D261" i="4"/>
  <c r="D217" i="4"/>
  <c r="D257" i="4"/>
  <c r="D162" i="4"/>
  <c r="D256" i="4"/>
  <c r="D234" i="4"/>
  <c r="D128" i="4"/>
  <c r="D313" i="4"/>
  <c r="D114" i="4"/>
  <c r="D132" i="4"/>
  <c r="D35" i="4"/>
  <c r="D118" i="4"/>
  <c r="D117" i="4"/>
  <c r="D220" i="4"/>
  <c r="D288" i="4"/>
  <c r="D22" i="4"/>
  <c r="D34" i="4"/>
  <c r="D215" i="4"/>
  <c r="D18" i="4"/>
  <c r="D243" i="4"/>
  <c r="D8" i="4"/>
  <c r="D48" i="4"/>
  <c r="D210" i="4"/>
  <c r="D212" i="4"/>
  <c r="D160" i="4"/>
  <c r="D110" i="4"/>
  <c r="D194" i="4"/>
  <c r="D316" i="4"/>
  <c r="D248" i="4"/>
  <c r="D325" i="4"/>
  <c r="D98" i="4"/>
  <c r="D19" i="4"/>
  <c r="D61" i="4"/>
  <c r="D14" i="4"/>
  <c r="D168" i="4"/>
  <c r="D156" i="4"/>
  <c r="D272" i="4"/>
  <c r="D16" i="4"/>
  <c r="D94" i="4"/>
  <c r="D232" i="4"/>
  <c r="D242" i="4"/>
  <c r="D51" i="4"/>
  <c r="D278" i="4"/>
  <c r="D264" i="4"/>
  <c r="D283" i="4"/>
  <c r="D29" i="4"/>
  <c r="D178" i="4"/>
  <c r="D54" i="4"/>
  <c r="D225" i="4"/>
  <c r="D155" i="4"/>
  <c r="D101" i="4"/>
  <c r="D85" i="4"/>
  <c r="D172" i="4"/>
  <c r="D36" i="4"/>
  <c r="D115" i="4"/>
  <c r="D21" i="4"/>
  <c r="D186" i="4"/>
  <c r="D63" i="4"/>
  <c r="D80" i="4"/>
  <c r="D17" i="4"/>
  <c r="D122" i="4"/>
  <c r="D207" i="4"/>
  <c r="D333" i="4"/>
  <c r="D190" i="4"/>
  <c r="D192" i="4"/>
  <c r="D146" i="4"/>
  <c r="D187" i="4"/>
  <c r="D350" i="4"/>
  <c r="D306" i="4"/>
  <c r="D106" i="4"/>
  <c r="D154" i="4"/>
  <c r="D240" i="4"/>
  <c r="D329" i="4"/>
  <c r="D76" i="4"/>
  <c r="D90" i="4"/>
  <c r="D68" i="4"/>
  <c r="D338" i="4"/>
  <c r="D141" i="4"/>
  <c r="D49" i="4"/>
  <c r="D149" i="4"/>
  <c r="D292" i="4"/>
  <c r="D36" i="6"/>
  <c r="D38" i="6" s="1"/>
  <c r="D31" i="4"/>
  <c r="D270" i="4"/>
  <c r="D174" i="4"/>
  <c r="D274" i="4"/>
  <c r="D131" i="4"/>
  <c r="E4" i="4"/>
  <c r="E5" i="4" s="1"/>
  <c r="E6" i="4" s="1"/>
  <c r="E7" i="4" s="1"/>
  <c r="E8" i="4" s="1"/>
  <c r="E9" i="4" s="1"/>
  <c r="E10" i="4" s="1"/>
  <c r="E11" i="4" s="1"/>
  <c r="E12" i="4" s="1"/>
  <c r="E13" i="4" s="1"/>
  <c r="E14" i="4" s="1"/>
  <c r="E15" i="4" s="1"/>
  <c r="D177" i="4"/>
  <c r="D354" i="4"/>
  <c r="D235" i="4"/>
  <c r="D133" i="4"/>
  <c r="D318" i="4"/>
  <c r="D314" i="4"/>
  <c r="D336" i="4"/>
  <c r="D227" i="4"/>
  <c r="D222" i="4"/>
  <c r="D150" i="4"/>
  <c r="D7" i="4"/>
  <c r="D312" i="4"/>
  <c r="D244" i="4"/>
  <c r="D170" i="4"/>
  <c r="D107" i="4"/>
  <c r="D249" i="4"/>
  <c r="D290" i="4"/>
  <c r="E52" i="11"/>
  <c r="E53" i="11" s="1"/>
  <c r="E54" i="11" s="1"/>
  <c r="E55" i="11" s="1"/>
  <c r="E56" i="11" s="1"/>
  <c r="E57" i="11" s="1"/>
  <c r="E58" i="11" s="1"/>
  <c r="E59" i="11" s="1"/>
  <c r="E60" i="11" s="1"/>
  <c r="E61" i="11" s="1"/>
  <c r="E62" i="11" s="1"/>
  <c r="E63" i="11" s="1"/>
  <c r="U10" i="10"/>
  <c r="N10" i="10" s="1"/>
  <c r="D38" i="10"/>
  <c r="H38" i="10" l="1"/>
  <c r="D19" i="12"/>
  <c r="X6" i="6"/>
  <c r="Z6" i="6" s="1"/>
  <c r="D48" i="6"/>
  <c r="D55" i="6" s="1"/>
  <c r="I52" i="6" s="1"/>
  <c r="E16" i="4"/>
  <c r="E17" i="4" s="1"/>
  <c r="E18" i="4" s="1"/>
  <c r="E19" i="4" s="1"/>
  <c r="E20" i="4" s="1"/>
  <c r="E21" i="4" s="1"/>
  <c r="E22" i="4" s="1"/>
  <c r="E23" i="4" s="1"/>
  <c r="E24" i="4" s="1"/>
  <c r="E25" i="4" s="1"/>
  <c r="E26" i="4" s="1"/>
  <c r="E27" i="4" s="1"/>
  <c r="U7" i="6"/>
  <c r="P21" i="10"/>
  <c r="E19" i="12"/>
  <c r="E64" i="11"/>
  <c r="E65" i="11" s="1"/>
  <c r="E66" i="11" s="1"/>
  <c r="E67" i="11" s="1"/>
  <c r="E68" i="11" s="1"/>
  <c r="E69" i="11" s="1"/>
  <c r="E70" i="11" s="1"/>
  <c r="E71" i="11" s="1"/>
  <c r="E72" i="11" s="1"/>
  <c r="E73" i="11" s="1"/>
  <c r="E74" i="11" s="1"/>
  <c r="E75" i="11" s="1"/>
  <c r="U11" i="10"/>
  <c r="N11" i="10" s="1"/>
  <c r="P33" i="10"/>
  <c r="P25" i="10"/>
  <c r="P34" i="10"/>
  <c r="P11" i="10"/>
  <c r="P7" i="10"/>
  <c r="O7" i="10" s="1"/>
  <c r="P16" i="10"/>
  <c r="P17" i="10"/>
  <c r="P23" i="10"/>
  <c r="P12" i="10"/>
  <c r="P29" i="10"/>
  <c r="P31" i="10"/>
  <c r="P8" i="10"/>
  <c r="O8" i="10" s="1"/>
  <c r="P32" i="10"/>
  <c r="P28" i="10"/>
  <c r="P22" i="10"/>
  <c r="P26" i="10"/>
  <c r="P10" i="10"/>
  <c r="O10" i="10" s="1"/>
  <c r="P18" i="10"/>
  <c r="P27" i="10"/>
  <c r="P9" i="10"/>
  <c r="O9" i="10" s="1"/>
  <c r="D26" i="10"/>
  <c r="P36" i="10"/>
  <c r="P30" i="10"/>
  <c r="P15" i="10"/>
  <c r="P35" i="10"/>
  <c r="P14" i="10"/>
  <c r="P24" i="10"/>
  <c r="P19" i="10"/>
  <c r="P13" i="10"/>
  <c r="P20" i="10"/>
  <c r="P9" i="6"/>
  <c r="P31" i="6"/>
  <c r="P22" i="6"/>
  <c r="P15" i="6"/>
  <c r="P26" i="6"/>
  <c r="P32" i="6"/>
  <c r="P27" i="6"/>
  <c r="P35" i="6"/>
  <c r="P29" i="6"/>
  <c r="P23" i="6"/>
  <c r="P12" i="6"/>
  <c r="P28" i="6"/>
  <c r="P10" i="6"/>
  <c r="P14" i="6"/>
  <c r="P36" i="6"/>
  <c r="P21" i="6"/>
  <c r="P25" i="6"/>
  <c r="P19" i="6"/>
  <c r="P30" i="6"/>
  <c r="P16" i="6"/>
  <c r="P34" i="6"/>
  <c r="P8" i="6"/>
  <c r="P7" i="6"/>
  <c r="P17" i="6"/>
  <c r="P11" i="6"/>
  <c r="D26" i="6"/>
  <c r="P20" i="6"/>
  <c r="P18" i="6"/>
  <c r="P33" i="6"/>
  <c r="P13" i="6"/>
  <c r="P24" i="6"/>
  <c r="E24" i="12" l="1"/>
  <c r="D32" i="10"/>
  <c r="E28" i="4"/>
  <c r="E29" i="4" s="1"/>
  <c r="E30" i="4" s="1"/>
  <c r="E31" i="4" s="1"/>
  <c r="E32" i="4" s="1"/>
  <c r="E33" i="4" s="1"/>
  <c r="E34" i="4" s="1"/>
  <c r="E35" i="4" s="1"/>
  <c r="E36" i="4" s="1"/>
  <c r="E37" i="4" s="1"/>
  <c r="E38" i="4" s="1"/>
  <c r="E39" i="4" s="1"/>
  <c r="U8" i="6"/>
  <c r="O11" i="10"/>
  <c r="U12" i="10"/>
  <c r="E76" i="11"/>
  <c r="E77" i="11" s="1"/>
  <c r="E78" i="11" s="1"/>
  <c r="E79" i="11" s="1"/>
  <c r="E80" i="11" s="1"/>
  <c r="E81" i="11" s="1"/>
  <c r="E82" i="11" s="1"/>
  <c r="E83" i="11" s="1"/>
  <c r="E84" i="11" s="1"/>
  <c r="E85" i="11" s="1"/>
  <c r="E86" i="11" s="1"/>
  <c r="E87" i="11" s="1"/>
  <c r="N12" i="10" l="1"/>
  <c r="O12" i="10" s="1"/>
  <c r="E40" i="4"/>
  <c r="E41" i="4" s="1"/>
  <c r="E42" i="4" s="1"/>
  <c r="E43" i="4" s="1"/>
  <c r="E44" i="4" s="1"/>
  <c r="E45" i="4" s="1"/>
  <c r="E46" i="4" s="1"/>
  <c r="E47" i="4" s="1"/>
  <c r="E48" i="4" s="1"/>
  <c r="E49" i="4" s="1"/>
  <c r="E50" i="4" s="1"/>
  <c r="E51" i="4" s="1"/>
  <c r="U9" i="6"/>
  <c r="E88" i="11"/>
  <c r="E89" i="11" s="1"/>
  <c r="E90" i="11" s="1"/>
  <c r="E91" i="11" s="1"/>
  <c r="E92" i="11" s="1"/>
  <c r="E93" i="11" s="1"/>
  <c r="E94" i="11" s="1"/>
  <c r="E95" i="11" s="1"/>
  <c r="E96" i="11" s="1"/>
  <c r="E97" i="11" s="1"/>
  <c r="E98" i="11" s="1"/>
  <c r="E99" i="11" s="1"/>
  <c r="U13" i="10"/>
  <c r="N13" i="10" l="1"/>
  <c r="O13" i="10" s="1"/>
  <c r="E52" i="4"/>
  <c r="E53" i="4" s="1"/>
  <c r="E54" i="4" s="1"/>
  <c r="E55" i="4" s="1"/>
  <c r="E56" i="4" s="1"/>
  <c r="E57" i="4" s="1"/>
  <c r="E58" i="4" s="1"/>
  <c r="E59" i="4" s="1"/>
  <c r="E60" i="4" s="1"/>
  <c r="E61" i="4" s="1"/>
  <c r="E62" i="4" s="1"/>
  <c r="E63" i="4" s="1"/>
  <c r="U10" i="6"/>
  <c r="U14" i="10"/>
  <c r="E100" i="11"/>
  <c r="E101" i="11" s="1"/>
  <c r="E102" i="11" s="1"/>
  <c r="E103" i="11" s="1"/>
  <c r="E104" i="11" s="1"/>
  <c r="E105" i="11" s="1"/>
  <c r="E106" i="11" s="1"/>
  <c r="E107" i="11" s="1"/>
  <c r="E108" i="11" s="1"/>
  <c r="E109" i="11" s="1"/>
  <c r="E110" i="11" s="1"/>
  <c r="E111" i="11" s="1"/>
  <c r="N14" i="10" l="1"/>
  <c r="O14" i="10" s="1"/>
  <c r="E64" i="4"/>
  <c r="E65" i="4" s="1"/>
  <c r="E66" i="4" s="1"/>
  <c r="E67" i="4" s="1"/>
  <c r="E68" i="4" s="1"/>
  <c r="E69" i="4" s="1"/>
  <c r="E70" i="4" s="1"/>
  <c r="E71" i="4" s="1"/>
  <c r="E72" i="4" s="1"/>
  <c r="E73" i="4" s="1"/>
  <c r="E74" i="4" s="1"/>
  <c r="E75" i="4" s="1"/>
  <c r="U11" i="6"/>
  <c r="E112" i="11"/>
  <c r="E113" i="11" s="1"/>
  <c r="E114" i="11" s="1"/>
  <c r="E115" i="11" s="1"/>
  <c r="E116" i="11" s="1"/>
  <c r="E117" i="11" s="1"/>
  <c r="E118" i="11" s="1"/>
  <c r="E119" i="11" s="1"/>
  <c r="E120" i="11" s="1"/>
  <c r="E121" i="11" s="1"/>
  <c r="E122" i="11" s="1"/>
  <c r="E123" i="11" s="1"/>
  <c r="U15" i="10"/>
  <c r="N15" i="10" l="1"/>
  <c r="O15" i="10" s="1"/>
  <c r="E76" i="4"/>
  <c r="E77" i="4" s="1"/>
  <c r="E78" i="4" s="1"/>
  <c r="E79" i="4" s="1"/>
  <c r="E80" i="4" s="1"/>
  <c r="E81" i="4" s="1"/>
  <c r="E82" i="4" s="1"/>
  <c r="E83" i="4" s="1"/>
  <c r="E84" i="4" s="1"/>
  <c r="E85" i="4" s="1"/>
  <c r="E86" i="4" s="1"/>
  <c r="E87" i="4" s="1"/>
  <c r="U12" i="6"/>
  <c r="E124" i="11"/>
  <c r="E125" i="11" s="1"/>
  <c r="E126" i="11" s="1"/>
  <c r="E127" i="11" s="1"/>
  <c r="E128" i="11" s="1"/>
  <c r="E129" i="11" s="1"/>
  <c r="E130" i="11" s="1"/>
  <c r="E131" i="11" s="1"/>
  <c r="E132" i="11" s="1"/>
  <c r="E133" i="11" s="1"/>
  <c r="E134" i="11" s="1"/>
  <c r="E135" i="11" s="1"/>
  <c r="U16" i="10"/>
  <c r="N16" i="10" l="1"/>
  <c r="O16" i="10" s="1"/>
  <c r="E88" i="4"/>
  <c r="E89" i="4" s="1"/>
  <c r="E90" i="4" s="1"/>
  <c r="E91" i="4" s="1"/>
  <c r="E92" i="4" s="1"/>
  <c r="E93" i="4" s="1"/>
  <c r="E94" i="4" s="1"/>
  <c r="E95" i="4" s="1"/>
  <c r="E96" i="4" s="1"/>
  <c r="E97" i="4" s="1"/>
  <c r="E98" i="4" s="1"/>
  <c r="E99" i="4" s="1"/>
  <c r="U13" i="6"/>
  <c r="E136" i="11"/>
  <c r="E137" i="11" s="1"/>
  <c r="E138" i="11" s="1"/>
  <c r="E139" i="11" s="1"/>
  <c r="E140" i="11" s="1"/>
  <c r="E141" i="11" s="1"/>
  <c r="E142" i="11" s="1"/>
  <c r="E143" i="11" s="1"/>
  <c r="E144" i="11" s="1"/>
  <c r="E145" i="11" s="1"/>
  <c r="E146" i="11" s="1"/>
  <c r="E147" i="11" s="1"/>
  <c r="U17" i="10"/>
  <c r="N17" i="10" l="1"/>
  <c r="O17" i="10" s="1"/>
  <c r="E100" i="4"/>
  <c r="E101" i="4" s="1"/>
  <c r="E102" i="4" s="1"/>
  <c r="E103" i="4" s="1"/>
  <c r="E104" i="4" s="1"/>
  <c r="E105" i="4" s="1"/>
  <c r="E106" i="4" s="1"/>
  <c r="E107" i="4" s="1"/>
  <c r="E108" i="4" s="1"/>
  <c r="E109" i="4" s="1"/>
  <c r="E110" i="4" s="1"/>
  <c r="E111" i="4" s="1"/>
  <c r="U14" i="6"/>
  <c r="U18" i="10"/>
  <c r="E148" i="11"/>
  <c r="E149" i="11" s="1"/>
  <c r="E150" i="11" s="1"/>
  <c r="E151" i="11" s="1"/>
  <c r="E152" i="11" s="1"/>
  <c r="E153" i="11" s="1"/>
  <c r="E154" i="11" s="1"/>
  <c r="E155" i="11" s="1"/>
  <c r="E156" i="11" s="1"/>
  <c r="E157" i="11" s="1"/>
  <c r="E158" i="11" s="1"/>
  <c r="E159" i="11" s="1"/>
  <c r="N18" i="10" l="1"/>
  <c r="O18" i="10" s="1"/>
  <c r="E112" i="4"/>
  <c r="E113" i="4" s="1"/>
  <c r="E114" i="4" s="1"/>
  <c r="E115" i="4" s="1"/>
  <c r="E116" i="4" s="1"/>
  <c r="E117" i="4" s="1"/>
  <c r="E118" i="4" s="1"/>
  <c r="E119" i="4" s="1"/>
  <c r="E120" i="4" s="1"/>
  <c r="E121" i="4" s="1"/>
  <c r="E122" i="4" s="1"/>
  <c r="E123" i="4" s="1"/>
  <c r="U15" i="6"/>
  <c r="U19" i="10"/>
  <c r="E160" i="11"/>
  <c r="E161" i="11" s="1"/>
  <c r="E162" i="11" s="1"/>
  <c r="E163" i="11" s="1"/>
  <c r="E164" i="11" s="1"/>
  <c r="E165" i="11" s="1"/>
  <c r="E166" i="11" s="1"/>
  <c r="E167" i="11" s="1"/>
  <c r="E168" i="11" s="1"/>
  <c r="E169" i="11" s="1"/>
  <c r="E170" i="11" s="1"/>
  <c r="E171" i="11" s="1"/>
  <c r="N19" i="10" l="1"/>
  <c r="O19" i="10" s="1"/>
  <c r="E124" i="4"/>
  <c r="E125" i="4" s="1"/>
  <c r="E126" i="4" s="1"/>
  <c r="E127" i="4" s="1"/>
  <c r="E128" i="4" s="1"/>
  <c r="E129" i="4" s="1"/>
  <c r="E130" i="4" s="1"/>
  <c r="E131" i="4" s="1"/>
  <c r="E132" i="4" s="1"/>
  <c r="E133" i="4" s="1"/>
  <c r="E134" i="4" s="1"/>
  <c r="E135" i="4" s="1"/>
  <c r="U16" i="6"/>
  <c r="E172" i="11"/>
  <c r="E173" i="11" s="1"/>
  <c r="E174" i="11" s="1"/>
  <c r="E175" i="11" s="1"/>
  <c r="E176" i="11" s="1"/>
  <c r="E177" i="11" s="1"/>
  <c r="E178" i="11" s="1"/>
  <c r="E179" i="11" s="1"/>
  <c r="E180" i="11" s="1"/>
  <c r="E181" i="11" s="1"/>
  <c r="E182" i="11" s="1"/>
  <c r="E183" i="11" s="1"/>
  <c r="U20" i="10"/>
  <c r="N20" i="10" l="1"/>
  <c r="O20" i="10" s="1"/>
  <c r="E136" i="4"/>
  <c r="E137" i="4" s="1"/>
  <c r="E138" i="4" s="1"/>
  <c r="E139" i="4" s="1"/>
  <c r="E140" i="4" s="1"/>
  <c r="E141" i="4" s="1"/>
  <c r="E142" i="4" s="1"/>
  <c r="E143" i="4" s="1"/>
  <c r="E144" i="4" s="1"/>
  <c r="E145" i="4" s="1"/>
  <c r="E146" i="4" s="1"/>
  <c r="E147" i="4" s="1"/>
  <c r="U17" i="6"/>
  <c r="E184" i="11"/>
  <c r="E185" i="11" s="1"/>
  <c r="E186" i="11" s="1"/>
  <c r="E187" i="11" s="1"/>
  <c r="E188" i="11" s="1"/>
  <c r="E189" i="11" s="1"/>
  <c r="E190" i="11" s="1"/>
  <c r="E191" i="11" s="1"/>
  <c r="E192" i="11" s="1"/>
  <c r="E193" i="11" s="1"/>
  <c r="E194" i="11" s="1"/>
  <c r="E195" i="11" s="1"/>
  <c r="U21" i="10"/>
  <c r="N21" i="10" l="1"/>
  <c r="O21" i="10" s="1"/>
  <c r="E148" i="4"/>
  <c r="E149" i="4" s="1"/>
  <c r="E150" i="4" s="1"/>
  <c r="E151" i="4" s="1"/>
  <c r="E152" i="4" s="1"/>
  <c r="E153" i="4" s="1"/>
  <c r="E154" i="4" s="1"/>
  <c r="E155" i="4" s="1"/>
  <c r="E156" i="4" s="1"/>
  <c r="E157" i="4" s="1"/>
  <c r="E158" i="4" s="1"/>
  <c r="E159" i="4" s="1"/>
  <c r="U18" i="6"/>
  <c r="E196" i="11"/>
  <c r="E197" i="11" s="1"/>
  <c r="E198" i="11" s="1"/>
  <c r="E199" i="11" s="1"/>
  <c r="E200" i="11" s="1"/>
  <c r="E201" i="11" s="1"/>
  <c r="E202" i="11" s="1"/>
  <c r="E203" i="11" s="1"/>
  <c r="E204" i="11" s="1"/>
  <c r="E205" i="11" s="1"/>
  <c r="E206" i="11" s="1"/>
  <c r="E207" i="11" s="1"/>
  <c r="U22" i="10"/>
  <c r="N22" i="10" l="1"/>
  <c r="O22" i="10" s="1"/>
  <c r="E160" i="4"/>
  <c r="E161" i="4" s="1"/>
  <c r="E162" i="4" s="1"/>
  <c r="E163" i="4" s="1"/>
  <c r="E164" i="4" s="1"/>
  <c r="E165" i="4" s="1"/>
  <c r="E166" i="4" s="1"/>
  <c r="E167" i="4" s="1"/>
  <c r="E168" i="4" s="1"/>
  <c r="E169" i="4" s="1"/>
  <c r="E170" i="4" s="1"/>
  <c r="E171" i="4" s="1"/>
  <c r="U19" i="6"/>
  <c r="E208" i="11"/>
  <c r="E209" i="11" s="1"/>
  <c r="E210" i="11" s="1"/>
  <c r="E211" i="11" s="1"/>
  <c r="E212" i="11" s="1"/>
  <c r="E213" i="11" s="1"/>
  <c r="E214" i="11" s="1"/>
  <c r="E215" i="11" s="1"/>
  <c r="E216" i="11" s="1"/>
  <c r="E217" i="11" s="1"/>
  <c r="E218" i="11" s="1"/>
  <c r="E219" i="11" s="1"/>
  <c r="U23" i="10"/>
  <c r="N23" i="10" l="1"/>
  <c r="O23" i="10" s="1"/>
  <c r="U20" i="6"/>
  <c r="E172" i="4"/>
  <c r="E173" i="4" s="1"/>
  <c r="E174" i="4" s="1"/>
  <c r="E175" i="4" s="1"/>
  <c r="E176" i="4" s="1"/>
  <c r="E177" i="4" s="1"/>
  <c r="E178" i="4" s="1"/>
  <c r="E179" i="4" s="1"/>
  <c r="E180" i="4" s="1"/>
  <c r="E181" i="4" s="1"/>
  <c r="E182" i="4" s="1"/>
  <c r="E183" i="4" s="1"/>
  <c r="Y21" i="6" s="1"/>
  <c r="E220" i="11"/>
  <c r="E221" i="11" s="1"/>
  <c r="E222" i="11" s="1"/>
  <c r="E223" i="11" s="1"/>
  <c r="E224" i="11" s="1"/>
  <c r="E225" i="11" s="1"/>
  <c r="E226" i="11" s="1"/>
  <c r="E227" i="11" s="1"/>
  <c r="E228" i="11" s="1"/>
  <c r="E229" i="11" s="1"/>
  <c r="E230" i="11" s="1"/>
  <c r="E231" i="11" s="1"/>
  <c r="U24" i="10"/>
  <c r="N24" i="10" l="1"/>
  <c r="O24" i="10" s="1"/>
  <c r="H35" i="6"/>
  <c r="D21" i="12" s="1"/>
  <c r="E184" i="4"/>
  <c r="E185" i="4" s="1"/>
  <c r="E186" i="4" s="1"/>
  <c r="E187" i="4" s="1"/>
  <c r="E188" i="4" s="1"/>
  <c r="E189" i="4" s="1"/>
  <c r="E190" i="4" s="1"/>
  <c r="E191" i="4" s="1"/>
  <c r="E192" i="4" s="1"/>
  <c r="E193" i="4" s="1"/>
  <c r="E194" i="4" s="1"/>
  <c r="E195" i="4" s="1"/>
  <c r="U21" i="6"/>
  <c r="E232" i="11"/>
  <c r="E233" i="11" s="1"/>
  <c r="E234" i="11" s="1"/>
  <c r="E235" i="11" s="1"/>
  <c r="E236" i="11" s="1"/>
  <c r="E237" i="11" s="1"/>
  <c r="E238" i="11" s="1"/>
  <c r="E239" i="11" s="1"/>
  <c r="E240" i="11" s="1"/>
  <c r="E241" i="11" s="1"/>
  <c r="E242" i="11" s="1"/>
  <c r="E243" i="11" s="1"/>
  <c r="U25" i="10"/>
  <c r="N25" i="10" l="1"/>
  <c r="O25" i="10" s="1"/>
  <c r="E196" i="4"/>
  <c r="E197" i="4" s="1"/>
  <c r="E198" i="4" s="1"/>
  <c r="E199" i="4" s="1"/>
  <c r="E200" i="4" s="1"/>
  <c r="E201" i="4" s="1"/>
  <c r="E202" i="4" s="1"/>
  <c r="E203" i="4" s="1"/>
  <c r="E204" i="4" s="1"/>
  <c r="E205" i="4" s="1"/>
  <c r="E206" i="4" s="1"/>
  <c r="E207" i="4" s="1"/>
  <c r="U22" i="6"/>
  <c r="D29" i="10"/>
  <c r="E244" i="11"/>
  <c r="E245" i="11" s="1"/>
  <c r="E246" i="11" s="1"/>
  <c r="E247" i="11" s="1"/>
  <c r="E248" i="11" s="1"/>
  <c r="E249" i="11" s="1"/>
  <c r="E250" i="11" s="1"/>
  <c r="E251" i="11" s="1"/>
  <c r="E252" i="11" s="1"/>
  <c r="E253" i="11" s="1"/>
  <c r="E254" i="11" s="1"/>
  <c r="E255" i="11" s="1"/>
  <c r="U26" i="10"/>
  <c r="N26" i="10" l="1"/>
  <c r="O26" i="10" s="1"/>
  <c r="D31" i="10"/>
  <c r="E208" i="4"/>
  <c r="E209" i="4" s="1"/>
  <c r="E210" i="4" s="1"/>
  <c r="E211" i="4" s="1"/>
  <c r="E212" i="4" s="1"/>
  <c r="E213" i="4" s="1"/>
  <c r="E214" i="4" s="1"/>
  <c r="E215" i="4" s="1"/>
  <c r="E216" i="4" s="1"/>
  <c r="E217" i="4" s="1"/>
  <c r="E218" i="4" s="1"/>
  <c r="E219" i="4" s="1"/>
  <c r="U23" i="6"/>
  <c r="E256" i="11"/>
  <c r="E257" i="11" s="1"/>
  <c r="E258" i="11" s="1"/>
  <c r="E259" i="11" s="1"/>
  <c r="E260" i="11" s="1"/>
  <c r="E261" i="11" s="1"/>
  <c r="E262" i="11" s="1"/>
  <c r="E263" i="11" s="1"/>
  <c r="E264" i="11" s="1"/>
  <c r="E265" i="11" s="1"/>
  <c r="E266" i="11" s="1"/>
  <c r="E267" i="11" s="1"/>
  <c r="U27" i="10"/>
  <c r="N27" i="10" l="1"/>
  <c r="O27" i="10" s="1"/>
  <c r="U24" i="6"/>
  <c r="E220" i="4"/>
  <c r="E221" i="4" s="1"/>
  <c r="E222" i="4" s="1"/>
  <c r="E223" i="4" s="1"/>
  <c r="E224" i="4" s="1"/>
  <c r="E225" i="4" s="1"/>
  <c r="E226" i="4" s="1"/>
  <c r="E227" i="4" s="1"/>
  <c r="E228" i="4" s="1"/>
  <c r="E229" i="4" s="1"/>
  <c r="E230" i="4" s="1"/>
  <c r="E231" i="4" s="1"/>
  <c r="E23" i="12"/>
  <c r="E268" i="11"/>
  <c r="E269" i="11" s="1"/>
  <c r="E270" i="11" s="1"/>
  <c r="E271" i="11" s="1"/>
  <c r="E272" i="11" s="1"/>
  <c r="E273" i="11" s="1"/>
  <c r="E274" i="11" s="1"/>
  <c r="E275" i="11" s="1"/>
  <c r="E276" i="11" s="1"/>
  <c r="E277" i="11" s="1"/>
  <c r="E278" i="11" s="1"/>
  <c r="E279" i="11" s="1"/>
  <c r="U28" i="10"/>
  <c r="N28" i="10" l="1"/>
  <c r="O28" i="10" s="1"/>
  <c r="U25" i="6"/>
  <c r="E232" i="4"/>
  <c r="E233" i="4" s="1"/>
  <c r="E234" i="4" s="1"/>
  <c r="E235" i="4" s="1"/>
  <c r="E236" i="4" s="1"/>
  <c r="E237" i="4" s="1"/>
  <c r="E238" i="4" s="1"/>
  <c r="E239" i="4" s="1"/>
  <c r="E240" i="4" s="1"/>
  <c r="E241" i="4" s="1"/>
  <c r="E242" i="4" s="1"/>
  <c r="E243" i="4" s="1"/>
  <c r="U29" i="10"/>
  <c r="E280" i="11"/>
  <c r="E281" i="11" s="1"/>
  <c r="E282" i="11" s="1"/>
  <c r="E283" i="11" s="1"/>
  <c r="E284" i="11" s="1"/>
  <c r="E285" i="11" s="1"/>
  <c r="E286" i="11" s="1"/>
  <c r="E287" i="11" s="1"/>
  <c r="E288" i="11" s="1"/>
  <c r="E289" i="11" s="1"/>
  <c r="E290" i="11" s="1"/>
  <c r="E291" i="11" s="1"/>
  <c r="N29" i="10" l="1"/>
  <c r="O29" i="10" s="1"/>
  <c r="E244" i="4"/>
  <c r="E245" i="4" s="1"/>
  <c r="E246" i="4" s="1"/>
  <c r="E247" i="4" s="1"/>
  <c r="E248" i="4" s="1"/>
  <c r="E249" i="4" s="1"/>
  <c r="E250" i="4" s="1"/>
  <c r="E251" i="4" s="1"/>
  <c r="E252" i="4" s="1"/>
  <c r="E253" i="4" s="1"/>
  <c r="E254" i="4" s="1"/>
  <c r="E255" i="4" s="1"/>
  <c r="U26" i="6"/>
  <c r="E292" i="11"/>
  <c r="E293" i="11" s="1"/>
  <c r="E294" i="11" s="1"/>
  <c r="E295" i="11" s="1"/>
  <c r="E296" i="11" s="1"/>
  <c r="E297" i="11" s="1"/>
  <c r="E298" i="11" s="1"/>
  <c r="E299" i="11" s="1"/>
  <c r="E300" i="11" s="1"/>
  <c r="E301" i="11" s="1"/>
  <c r="E302" i="11" s="1"/>
  <c r="E303" i="11" s="1"/>
  <c r="U30" i="10"/>
  <c r="N30" i="10" l="1"/>
  <c r="O30" i="10" s="1"/>
  <c r="U27" i="6"/>
  <c r="E256" i="4"/>
  <c r="E257" i="4" s="1"/>
  <c r="E258" i="4" s="1"/>
  <c r="E259" i="4" s="1"/>
  <c r="E260" i="4" s="1"/>
  <c r="E261" i="4" s="1"/>
  <c r="E262" i="4" s="1"/>
  <c r="E263" i="4" s="1"/>
  <c r="E264" i="4" s="1"/>
  <c r="E265" i="4" s="1"/>
  <c r="E266" i="4" s="1"/>
  <c r="E267" i="4" s="1"/>
  <c r="E304" i="11"/>
  <c r="E305" i="11" s="1"/>
  <c r="E306" i="11" s="1"/>
  <c r="E307" i="11" s="1"/>
  <c r="E308" i="11" s="1"/>
  <c r="E309" i="11" s="1"/>
  <c r="E310" i="11" s="1"/>
  <c r="E311" i="11" s="1"/>
  <c r="E312" i="11" s="1"/>
  <c r="E313" i="11" s="1"/>
  <c r="E314" i="11" s="1"/>
  <c r="E315" i="11" s="1"/>
  <c r="U31" i="10"/>
  <c r="N31" i="10" l="1"/>
  <c r="O31" i="10" s="1"/>
  <c r="E268" i="4"/>
  <c r="E269" i="4" s="1"/>
  <c r="E270" i="4" s="1"/>
  <c r="E271" i="4" s="1"/>
  <c r="E272" i="4" s="1"/>
  <c r="E273" i="4" s="1"/>
  <c r="E274" i="4" s="1"/>
  <c r="E275" i="4" s="1"/>
  <c r="E276" i="4" s="1"/>
  <c r="E277" i="4" s="1"/>
  <c r="E278" i="4" s="1"/>
  <c r="E279" i="4" s="1"/>
  <c r="U28" i="6"/>
  <c r="U32" i="10"/>
  <c r="E316" i="11"/>
  <c r="E317" i="11" s="1"/>
  <c r="E318" i="11" s="1"/>
  <c r="E319" i="11" s="1"/>
  <c r="E320" i="11" s="1"/>
  <c r="E321" i="11" s="1"/>
  <c r="E322" i="11" s="1"/>
  <c r="E323" i="11" s="1"/>
  <c r="E324" i="11" s="1"/>
  <c r="E325" i="11" s="1"/>
  <c r="E326" i="11" s="1"/>
  <c r="E327" i="11" s="1"/>
  <c r="N32" i="10" l="1"/>
  <c r="O32" i="10" s="1"/>
  <c r="E280" i="4"/>
  <c r="E281" i="4" s="1"/>
  <c r="E282" i="4" s="1"/>
  <c r="E283" i="4" s="1"/>
  <c r="E284" i="4" s="1"/>
  <c r="E285" i="4" s="1"/>
  <c r="E286" i="4" s="1"/>
  <c r="E287" i="4" s="1"/>
  <c r="E288" i="4" s="1"/>
  <c r="E289" i="4" s="1"/>
  <c r="E290" i="4" s="1"/>
  <c r="E291" i="4" s="1"/>
  <c r="U29" i="6"/>
  <c r="E328" i="11"/>
  <c r="E329" i="11" s="1"/>
  <c r="E330" i="11" s="1"/>
  <c r="E331" i="11" s="1"/>
  <c r="E332" i="11" s="1"/>
  <c r="E333" i="11" s="1"/>
  <c r="E334" i="11" s="1"/>
  <c r="E335" i="11" s="1"/>
  <c r="E336" i="11" s="1"/>
  <c r="E337" i="11" s="1"/>
  <c r="E338" i="11" s="1"/>
  <c r="E339" i="11" s="1"/>
  <c r="U33" i="10"/>
  <c r="N33" i="10" l="1"/>
  <c r="O33" i="10" s="1"/>
  <c r="E292" i="4"/>
  <c r="E293" i="4" s="1"/>
  <c r="E294" i="4" s="1"/>
  <c r="E295" i="4" s="1"/>
  <c r="E296" i="4" s="1"/>
  <c r="E297" i="4" s="1"/>
  <c r="E298" i="4" s="1"/>
  <c r="E299" i="4" s="1"/>
  <c r="E300" i="4" s="1"/>
  <c r="E301" i="4" s="1"/>
  <c r="E302" i="4" s="1"/>
  <c r="E303" i="4" s="1"/>
  <c r="U30" i="6"/>
  <c r="E340" i="11"/>
  <c r="E341" i="11" s="1"/>
  <c r="E342" i="11" s="1"/>
  <c r="E343" i="11" s="1"/>
  <c r="E344" i="11" s="1"/>
  <c r="E345" i="11" s="1"/>
  <c r="E346" i="11" s="1"/>
  <c r="E347" i="11" s="1"/>
  <c r="E348" i="11" s="1"/>
  <c r="E349" i="11" s="1"/>
  <c r="E350" i="11" s="1"/>
  <c r="E351" i="11" s="1"/>
  <c r="U34" i="10"/>
  <c r="N34" i="10" l="1"/>
  <c r="O34" i="10" s="1"/>
  <c r="E304" i="4"/>
  <c r="E305" i="4" s="1"/>
  <c r="E306" i="4" s="1"/>
  <c r="E307" i="4" s="1"/>
  <c r="E308" i="4" s="1"/>
  <c r="E309" i="4" s="1"/>
  <c r="E310" i="4" s="1"/>
  <c r="E311" i="4" s="1"/>
  <c r="E312" i="4" s="1"/>
  <c r="E313" i="4" s="1"/>
  <c r="E314" i="4" s="1"/>
  <c r="E315" i="4" s="1"/>
  <c r="U31" i="6"/>
  <c r="E352" i="11"/>
  <c r="E353" i="11" s="1"/>
  <c r="E354" i="11" s="1"/>
  <c r="E355" i="11" s="1"/>
  <c r="E356" i="11" s="1"/>
  <c r="E357" i="11" s="1"/>
  <c r="E358" i="11" s="1"/>
  <c r="E359" i="11" s="1"/>
  <c r="E360" i="11" s="1"/>
  <c r="E361" i="11" s="1"/>
  <c r="E362" i="11" s="1"/>
  <c r="E363" i="11" s="1"/>
  <c r="U36" i="10" s="1"/>
  <c r="U35" i="10"/>
  <c r="N36" i="10" l="1"/>
  <c r="O36" i="10" s="1"/>
  <c r="N35" i="10"/>
  <c r="O35" i="10" s="1"/>
  <c r="E316" i="4"/>
  <c r="E317" i="4" s="1"/>
  <c r="E318" i="4" s="1"/>
  <c r="E319" i="4" s="1"/>
  <c r="E320" i="4" s="1"/>
  <c r="E321" i="4" s="1"/>
  <c r="E322" i="4" s="1"/>
  <c r="E323" i="4" s="1"/>
  <c r="E324" i="4" s="1"/>
  <c r="E325" i="4" s="1"/>
  <c r="E326" i="4" s="1"/>
  <c r="E327" i="4" s="1"/>
  <c r="U32" i="6"/>
  <c r="E328" i="4" l="1"/>
  <c r="E329" i="4" s="1"/>
  <c r="E330" i="4" s="1"/>
  <c r="E331" i="4" s="1"/>
  <c r="E332" i="4" s="1"/>
  <c r="E333" i="4" s="1"/>
  <c r="E334" i="4" s="1"/>
  <c r="E335" i="4" s="1"/>
  <c r="E336" i="4" s="1"/>
  <c r="E337" i="4" s="1"/>
  <c r="E338" i="4" s="1"/>
  <c r="E339" i="4" s="1"/>
  <c r="U33" i="6"/>
  <c r="E340" i="4" l="1"/>
  <c r="E341" i="4" s="1"/>
  <c r="E342" i="4" s="1"/>
  <c r="E343" i="4" s="1"/>
  <c r="E344" i="4" s="1"/>
  <c r="E345" i="4" s="1"/>
  <c r="E346" i="4" s="1"/>
  <c r="E347" i="4" s="1"/>
  <c r="E348" i="4" s="1"/>
  <c r="E349" i="4" s="1"/>
  <c r="E350" i="4" s="1"/>
  <c r="E351" i="4" s="1"/>
  <c r="U34" i="6"/>
  <c r="E352" i="4" l="1"/>
  <c r="E353" i="4" s="1"/>
  <c r="E354" i="4" s="1"/>
  <c r="E355" i="4" s="1"/>
  <c r="E356" i="4" s="1"/>
  <c r="E357" i="4" s="1"/>
  <c r="E358" i="4" s="1"/>
  <c r="E359" i="4" s="1"/>
  <c r="E360" i="4" s="1"/>
  <c r="E361" i="4" s="1"/>
  <c r="E362" i="4" s="1"/>
  <c r="E363" i="4" s="1"/>
  <c r="U36" i="6" s="1"/>
  <c r="U35" i="6"/>
  <c r="D27" i="8" l="1"/>
  <c r="D28" i="8"/>
  <c r="H41" i="8"/>
  <c r="W21" i="8" l="1"/>
  <c r="N21" i="8" s="1"/>
  <c r="O21" i="8" s="1"/>
  <c r="W27" i="8"/>
  <c r="N27" i="8" s="1"/>
  <c r="O27" i="8" s="1"/>
  <c r="W19" i="8"/>
  <c r="N19" i="8" s="1"/>
  <c r="O19" i="8" s="1"/>
  <c r="W12" i="8"/>
  <c r="N12" i="8" s="1"/>
  <c r="O12" i="8" s="1"/>
  <c r="W8" i="8"/>
  <c r="N8" i="8" s="1"/>
  <c r="O8" i="8" s="1"/>
  <c r="W7" i="8"/>
  <c r="N7" i="8" s="1"/>
  <c r="O7" i="8" s="1"/>
  <c r="W26" i="8"/>
  <c r="N26" i="8" s="1"/>
  <c r="O26" i="8" s="1"/>
  <c r="W24" i="8"/>
  <c r="N24" i="8" s="1"/>
  <c r="O24" i="8" s="1"/>
  <c r="W31" i="8"/>
  <c r="N31" i="8" s="1"/>
  <c r="O31" i="8" s="1"/>
  <c r="D32" i="8"/>
  <c r="W23" i="8"/>
  <c r="N23" i="8" s="1"/>
  <c r="O23" i="8" s="1"/>
  <c r="W16" i="8"/>
  <c r="N16" i="8" s="1"/>
  <c r="O16" i="8" s="1"/>
  <c r="W15" i="8"/>
  <c r="N15" i="8" s="1"/>
  <c r="O15" i="8" s="1"/>
  <c r="W32" i="8"/>
  <c r="N32" i="8" s="1"/>
  <c r="O32" i="8" s="1"/>
  <c r="W18" i="8"/>
  <c r="N18" i="8" s="1"/>
  <c r="O18" i="8" s="1"/>
  <c r="W20" i="8"/>
  <c r="N20" i="8" s="1"/>
  <c r="O20" i="8" s="1"/>
  <c r="W30" i="8"/>
  <c r="N30" i="8" s="1"/>
  <c r="O30" i="8" s="1"/>
  <c r="W10" i="8"/>
  <c r="N10" i="8" s="1"/>
  <c r="O10" i="8" s="1"/>
  <c r="W14" i="8"/>
  <c r="N14" i="8" s="1"/>
  <c r="O14" i="8" s="1"/>
  <c r="W29" i="8"/>
  <c r="N29" i="8" s="1"/>
  <c r="O29" i="8" s="1"/>
  <c r="W25" i="8"/>
  <c r="N25" i="8" s="1"/>
  <c r="O25" i="8" s="1"/>
  <c r="W35" i="8"/>
  <c r="N35" i="8" s="1"/>
  <c r="O35" i="8" s="1"/>
  <c r="W13" i="8"/>
  <c r="N13" i="8" s="1"/>
  <c r="O13" i="8" s="1"/>
  <c r="W36" i="8"/>
  <c r="N36" i="8" s="1"/>
  <c r="O36" i="8" s="1"/>
  <c r="W28" i="8"/>
  <c r="N28" i="8" s="1"/>
  <c r="O28" i="8" s="1"/>
  <c r="W34" i="8"/>
  <c r="N34" i="8" s="1"/>
  <c r="O34" i="8" s="1"/>
  <c r="W22" i="8"/>
  <c r="N22" i="8" s="1"/>
  <c r="O22" i="8" s="1"/>
  <c r="W33" i="8"/>
  <c r="N33" i="8" s="1"/>
  <c r="O33" i="8" s="1"/>
  <c r="W9" i="8"/>
  <c r="N9" i="8" s="1"/>
  <c r="O9" i="8" s="1"/>
  <c r="W11" i="8"/>
  <c r="N11" i="8" s="1"/>
  <c r="O11" i="8" s="1"/>
  <c r="W17" i="8"/>
  <c r="N17" i="8" s="1"/>
  <c r="O17" i="8" s="1"/>
  <c r="C25" i="12" l="1"/>
  <c r="H40" i="8"/>
  <c r="H42" i="8" l="1"/>
  <c r="D30" i="8" s="1"/>
  <c r="D29" i="8"/>
  <c r="C24" i="12" l="1"/>
  <c r="C23" i="12"/>
  <c r="H26" i="6"/>
  <c r="H27" i="6" s="1"/>
  <c r="D27" i="6" l="1"/>
  <c r="H28" i="6"/>
  <c r="D28" i="6" s="1"/>
  <c r="D32" i="6"/>
  <c r="I26" i="6"/>
  <c r="I27" i="6" l="1"/>
  <c r="I28" i="6"/>
  <c r="H42" i="6" s="1"/>
  <c r="W23" i="6" l="1"/>
  <c r="N23" i="6" s="1"/>
  <c r="O23" i="6" s="1"/>
  <c r="X24" i="6"/>
  <c r="X15" i="6"/>
  <c r="Z15" i="6" s="1"/>
  <c r="X30" i="6"/>
  <c r="X14" i="6"/>
  <c r="Z14" i="6" s="1"/>
  <c r="X23" i="6"/>
  <c r="X36" i="6"/>
  <c r="X29" i="6"/>
  <c r="X13" i="6"/>
  <c r="Z13" i="6" s="1"/>
  <c r="X28" i="6"/>
  <c r="X21" i="6"/>
  <c r="Z21" i="6" s="1"/>
  <c r="X11" i="6"/>
  <c r="Z11" i="6" s="1"/>
  <c r="X18" i="6"/>
  <c r="Z18" i="6" s="1"/>
  <c r="X34" i="6"/>
  <c r="X20" i="6"/>
  <c r="Z20" i="6" s="1"/>
  <c r="X27" i="6"/>
  <c r="X10" i="6"/>
  <c r="Z10" i="6" s="1"/>
  <c r="X19" i="6"/>
  <c r="Z19" i="6" s="1"/>
  <c r="X33" i="6"/>
  <c r="X9" i="6"/>
  <c r="Z9" i="6" s="1"/>
  <c r="X26" i="6"/>
  <c r="X32" i="6"/>
  <c r="X17" i="6"/>
  <c r="Z17" i="6" s="1"/>
  <c r="X25" i="6"/>
  <c r="X7" i="6"/>
  <c r="Z7" i="6" s="1"/>
  <c r="X16" i="6"/>
  <c r="Z16" i="6" s="1"/>
  <c r="X31" i="6"/>
  <c r="X22" i="6"/>
  <c r="X35" i="6"/>
  <c r="X12" i="6"/>
  <c r="Z12" i="6" s="1"/>
  <c r="X8" i="6"/>
  <c r="Z8" i="6" s="1"/>
  <c r="W17" i="6"/>
  <c r="N17" i="6" s="1"/>
  <c r="O17" i="6" s="1"/>
  <c r="W31" i="6"/>
  <c r="N31" i="6" s="1"/>
  <c r="O31" i="6" s="1"/>
  <c r="W26" i="6"/>
  <c r="N26" i="6" s="1"/>
  <c r="O26" i="6" s="1"/>
  <c r="W20" i="6"/>
  <c r="N20" i="6" s="1"/>
  <c r="O20" i="6" s="1"/>
  <c r="W36" i="6"/>
  <c r="N36" i="6" s="1"/>
  <c r="O36" i="6" s="1"/>
  <c r="W35" i="6"/>
  <c r="N35" i="6" s="1"/>
  <c r="O35" i="6" s="1"/>
  <c r="W25" i="6"/>
  <c r="N25" i="6" s="1"/>
  <c r="O25" i="6" s="1"/>
  <c r="W16" i="6"/>
  <c r="N16" i="6" s="1"/>
  <c r="O16" i="6" s="1"/>
  <c r="H38" i="6"/>
  <c r="W15" i="6"/>
  <c r="N15" i="6" s="1"/>
  <c r="O15" i="6" s="1"/>
  <c r="W19" i="6"/>
  <c r="N19" i="6" s="1"/>
  <c r="O19" i="6" s="1"/>
  <c r="W7" i="6"/>
  <c r="N7" i="6" s="1"/>
  <c r="O7" i="6" s="1"/>
  <c r="W30" i="6"/>
  <c r="N30" i="6" s="1"/>
  <c r="O30" i="6" s="1"/>
  <c r="W21" i="6"/>
  <c r="N21" i="6" s="1"/>
  <c r="O21" i="6" s="1"/>
  <c r="W28" i="6"/>
  <c r="N28" i="6" s="1"/>
  <c r="O28" i="6" s="1"/>
  <c r="W18" i="6"/>
  <c r="N18" i="6" s="1"/>
  <c r="O18" i="6" s="1"/>
  <c r="W32" i="6"/>
  <c r="N32" i="6" s="1"/>
  <c r="O32" i="6" s="1"/>
  <c r="W12" i="6"/>
  <c r="N12" i="6" s="1"/>
  <c r="O12" i="6" s="1"/>
  <c r="W13" i="6"/>
  <c r="N13" i="6" s="1"/>
  <c r="O13" i="6" s="1"/>
  <c r="W22" i="6"/>
  <c r="N22" i="6" s="1"/>
  <c r="O22" i="6" s="1"/>
  <c r="W34" i="6"/>
  <c r="N34" i="6" s="1"/>
  <c r="O34" i="6" s="1"/>
  <c r="W9" i="6"/>
  <c r="N9" i="6" s="1"/>
  <c r="O9" i="6" s="1"/>
  <c r="W27" i="6"/>
  <c r="N27" i="6" s="1"/>
  <c r="O27" i="6" s="1"/>
  <c r="W33" i="6"/>
  <c r="N33" i="6" s="1"/>
  <c r="O33" i="6" s="1"/>
  <c r="W8" i="6"/>
  <c r="N8" i="6" s="1"/>
  <c r="O8" i="6" s="1"/>
  <c r="W24" i="6"/>
  <c r="N24" i="6" s="1"/>
  <c r="O24" i="6" s="1"/>
  <c r="W10" i="6"/>
  <c r="N10" i="6" s="1"/>
  <c r="O10" i="6" s="1"/>
  <c r="W29" i="6"/>
  <c r="N29" i="6" s="1"/>
  <c r="O29" i="6" s="1"/>
  <c r="W11" i="6"/>
  <c r="N11" i="6" s="1"/>
  <c r="O11" i="6" s="1"/>
  <c r="W14" i="6"/>
  <c r="N14" i="6" s="1"/>
  <c r="O14" i="6" s="1"/>
  <c r="H39" i="6" l="1"/>
  <c r="D29" i="6" s="1"/>
  <c r="D20" i="12"/>
  <c r="H41" i="6"/>
  <c r="D26" i="12" s="1"/>
  <c r="D27" i="12" s="1"/>
  <c r="H44" i="6"/>
  <c r="D29" i="12" s="1"/>
  <c r="D23" i="12"/>
  <c r="H43" i="6" l="1"/>
  <c r="D24" i="12" s="1"/>
  <c r="D31" i="6"/>
  <c r="D30" i="6" l="1"/>
</calcChain>
</file>

<file path=xl/sharedStrings.xml><?xml version="1.0" encoding="utf-8"?>
<sst xmlns="http://schemas.openxmlformats.org/spreadsheetml/2006/main" count="306" uniqueCount="143">
  <si>
    <t>Summary</t>
  </si>
  <si>
    <t>List Price</t>
  </si>
  <si>
    <t>Investment Capital Needed</t>
  </si>
  <si>
    <t>Total Projected Profit</t>
  </si>
  <si>
    <t>Annual Return on Investment</t>
  </si>
  <si>
    <t>Annual Cap Rate</t>
  </si>
  <si>
    <t>Investment</t>
  </si>
  <si>
    <t>Down Payment %</t>
  </si>
  <si>
    <t>Down Payment</t>
  </si>
  <si>
    <t>Initial Upgrade Costs</t>
  </si>
  <si>
    <t>Debt Service</t>
  </si>
  <si>
    <t>Monthly</t>
  </si>
  <si>
    <t>Annual</t>
  </si>
  <si>
    <t>Loan Amount</t>
  </si>
  <si>
    <t>Amortization (years)</t>
  </si>
  <si>
    <t>Mortgage Payment (P&amp;I)</t>
  </si>
  <si>
    <t>Total Mortgage Payment (P&amp;I)</t>
  </si>
  <si>
    <t>Property Taxes</t>
  </si>
  <si>
    <t>Management Fees</t>
  </si>
  <si>
    <t>Home Insurance</t>
  </si>
  <si>
    <t>Estimated Vacancy Amount</t>
  </si>
  <si>
    <t>Estimated Maintenance</t>
  </si>
  <si>
    <t>Leasing Fee</t>
  </si>
  <si>
    <t>Cash Flow</t>
  </si>
  <si>
    <t>Rent per Side</t>
  </si>
  <si>
    <t>Return on Investment</t>
  </si>
  <si>
    <t>Annual Appreciation</t>
  </si>
  <si>
    <t>Years Held</t>
  </si>
  <si>
    <t>Accumulated Cash Flow</t>
  </si>
  <si>
    <t>Appreciation</t>
  </si>
  <si>
    <t>Principal Paydown</t>
  </si>
  <si>
    <t>Est. Selling Expenses %</t>
  </si>
  <si>
    <t>Selling Expenses</t>
  </si>
  <si>
    <t>Tax Benefits</t>
  </si>
  <si>
    <t>Cash Reserves</t>
  </si>
  <si>
    <t>Number of Months</t>
  </si>
  <si>
    <t>Estimated Closing Costs</t>
  </si>
  <si>
    <t>Admin Fee</t>
  </si>
  <si>
    <t>Processing Fee</t>
  </si>
  <si>
    <t>Tax Service Fee</t>
  </si>
  <si>
    <t>Total Lender Fees</t>
  </si>
  <si>
    <t>Attorney Doc Prep Fee</t>
  </si>
  <si>
    <t>Credit Report Fee</t>
  </si>
  <si>
    <t>Recording Fee</t>
  </si>
  <si>
    <t>Title Escrow and Misc Fees</t>
  </si>
  <si>
    <t>Owner's Title Policy (OTP)</t>
  </si>
  <si>
    <t>Survey Fee</t>
  </si>
  <si>
    <t>HOA Transfer Fees</t>
  </si>
  <si>
    <t>Total Lender/Title Closing Costs</t>
  </si>
  <si>
    <t>Annual Home Insurance Premium</t>
  </si>
  <si>
    <t>Buyer's contribution toward Escrow Setup</t>
  </si>
  <si>
    <t>Total Other Loan Costs</t>
  </si>
  <si>
    <t>Calculated Total Closing Costs</t>
  </si>
  <si>
    <t>Manually Enter Closing Costs?</t>
  </si>
  <si>
    <t>No</t>
  </si>
  <si>
    <t>Manual Closing Costs</t>
  </si>
  <si>
    <t>Total Closing Costs</t>
  </si>
  <si>
    <t>Vacancy Rate</t>
  </si>
  <si>
    <t xml:space="preserve">Estimated Maintenance </t>
  </si>
  <si>
    <t>Management Fee</t>
  </si>
  <si>
    <t>Yes</t>
  </si>
  <si>
    <t>Mortgage Amortization Schedule</t>
  </si>
  <si>
    <t>Month</t>
  </si>
  <si>
    <t>Principal Payment</t>
  </si>
  <si>
    <t>Interest Payment</t>
  </si>
  <si>
    <t>P&amp;I Payment</t>
  </si>
  <si>
    <t>Balance</t>
  </si>
  <si>
    <t>Years</t>
  </si>
  <si>
    <t>Est. Cash Flow (Total expenses)</t>
  </si>
  <si>
    <t>Disclaimer</t>
  </si>
  <si>
    <t xml:space="preserve">Proforma returns are based on assumptions. Actual returns will vary. Rosehaven Homes, LLC and Magnolia Village at Cinco Lakes, LLC 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Rosehaven Homes, LLC hereby disclaims any liability for the accuracy, completeness, or correctness of any information or assumptions provided. </t>
  </si>
  <si>
    <t>Contact us for Details: 210-444-2040 or sales@rosehaven.us</t>
  </si>
  <si>
    <t>Premium Duplexes at Magnolia Village Proforma</t>
  </si>
  <si>
    <t>Closing Costs &amp; Prepaids</t>
  </si>
  <si>
    <t>(Does not account for rising rents)</t>
  </si>
  <si>
    <t>Per Diem Interest (15 Days)</t>
  </si>
  <si>
    <t>Total Appreciation</t>
  </si>
  <si>
    <t>Cash Required to Close</t>
  </si>
  <si>
    <t>Accumulated Expenses After Income</t>
  </si>
  <si>
    <t>Projected Annual Appreciation %</t>
  </si>
  <si>
    <t>Rental Contribution</t>
  </si>
  <si>
    <t>Accumulated Principle Paydown</t>
  </si>
  <si>
    <t>Interest Rate</t>
  </si>
  <si>
    <t>Estimated Maintenance Amount</t>
  </si>
  <si>
    <t>Purchase Price</t>
  </si>
  <si>
    <t>Closing Costs</t>
  </si>
  <si>
    <t>Insurance</t>
  </si>
  <si>
    <t>Annual Depreciation Benefit</t>
  </si>
  <si>
    <t>PMI</t>
  </si>
  <si>
    <t>Annual Gross Rents</t>
  </si>
  <si>
    <t>Rent Per Side</t>
  </si>
  <si>
    <t>Capital Needed for Purchase</t>
  </si>
  <si>
    <t>All Cash</t>
  </si>
  <si>
    <t>w/Loan</t>
  </si>
  <si>
    <t>Owner Occupier</t>
  </si>
  <si>
    <t>Key Assumptions</t>
  </si>
  <si>
    <t>Percent Down for Loan</t>
  </si>
  <si>
    <t>Item</t>
  </si>
  <si>
    <t>With Loan</t>
  </si>
  <si>
    <t>Interest Rate on Loan</t>
  </si>
  <si>
    <t>Cap Rate</t>
  </si>
  <si>
    <t>Cash on Cash Return</t>
  </si>
  <si>
    <t>Cash on Cash + Appreciation</t>
  </si>
  <si>
    <t>Investment Period (Years)</t>
  </si>
  <si>
    <t>Owner Occupier Monthly Cost</t>
  </si>
  <si>
    <t>Total Estimated Profit</t>
  </si>
  <si>
    <t>Sample 1</t>
  </si>
  <si>
    <t>Sample 2</t>
  </si>
  <si>
    <t>Total Monthly Rent</t>
  </si>
  <si>
    <t>Monthly Rent</t>
  </si>
  <si>
    <t>Rent to Purchase Price Ratio</t>
  </si>
  <si>
    <t>Rent to Puchase Price Ratio Comparison</t>
  </si>
  <si>
    <t xml:space="preserve">Addditional assumptions and all forumulas can be found in the other tabs in this spreadsheet. </t>
  </si>
  <si>
    <t>Total Principal Paydown by Renter</t>
  </si>
  <si>
    <t>Operating Expenses</t>
  </si>
  <si>
    <t>Total Operating Expenses</t>
  </si>
  <si>
    <t>Est. Cash Flow (Less Vacancy &amp; Maint Exp)</t>
  </si>
  <si>
    <t>Est. Cash Flow</t>
  </si>
  <si>
    <t>Cash-on-Cash Return (Total Exp)</t>
  </si>
  <si>
    <t>Cash-on-Cash Return (Less Vacancy &amp; Maint Exp)</t>
  </si>
  <si>
    <t>Net Proceeds</t>
  </si>
  <si>
    <t>Adj IRR Cash Flows</t>
  </si>
  <si>
    <t>Internal Rate of Return (IRR)</t>
  </si>
  <si>
    <t>Monthly Cash-on-Cash Return</t>
  </si>
  <si>
    <t>Monthly Cash-on-Cash Return (Less Vacancy &amp; Maint Exp)</t>
  </si>
  <si>
    <t>HOA Fees</t>
  </si>
  <si>
    <t>PITI</t>
  </si>
  <si>
    <t>Leasing Fee (Amortized Over 18 Months)</t>
  </si>
  <si>
    <t>Monthly Cash Flow (Less Vacancy &amp; Maint. Exp)</t>
  </si>
  <si>
    <t>Leasing Fee (Amortized over 18 Months)</t>
  </si>
  <si>
    <t>Expenses After Rental Income</t>
  </si>
  <si>
    <t>Expenses After Rental Income (Less Vacancy &amp; Maint. Exp)</t>
  </si>
  <si>
    <t>Monthly Expenses After Rental Income (Less Vacancy &amp; Maint. Exp)</t>
  </si>
  <si>
    <t>Monthly Expenses After Rental Income</t>
  </si>
  <si>
    <t>Gross Rents</t>
  </si>
  <si>
    <t>Total Annual Return (ROI)</t>
  </si>
  <si>
    <t>Appreciation After X Years</t>
  </si>
  <si>
    <t>Principal Pay Down</t>
  </si>
  <si>
    <t>A simple way to compare properties is to look at how much rent you are "buying" for each dollar you are spending. The higher the ratio, the better.</t>
  </si>
  <si>
    <t>Premium Duplexes at Magnolia Village North Proforma</t>
  </si>
  <si>
    <t>Magnolia North</t>
  </si>
  <si>
    <t>Financial Estimate Summary - Magnolia Village North - **Kennedy Floor Plan**</t>
  </si>
  <si>
    <t>(competitor 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</si>
</sst>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
    <numFmt numFmtId="168" formatCode="&quot;$&quot;#,##0"/>
  </numFmts>
  <fonts count="27"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theme="0"/>
      <name val="Aptos Narrow"/>
      <family val="2"/>
      <scheme val="minor"/>
    </font>
    <font>
      <b/>
      <sz val="14"/>
      <color theme="0"/>
      <name val="Cambria"/>
      <family val="1"/>
    </font>
    <font>
      <sz val="11"/>
      <color theme="1"/>
      <name val="Cambria"/>
      <family val="1"/>
    </font>
    <font>
      <b/>
      <sz val="11"/>
      <color theme="1"/>
      <name val="Cambria"/>
      <family val="1"/>
    </font>
    <font>
      <b/>
      <sz val="11"/>
      <color theme="0"/>
      <name val="Cambria"/>
      <family val="1"/>
    </font>
    <font>
      <b/>
      <sz val="11"/>
      <name val="Cambria"/>
      <family val="1"/>
    </font>
    <font>
      <i/>
      <sz val="11"/>
      <color theme="1"/>
      <name val="Aptos Narrow"/>
      <family val="2"/>
      <scheme val="minor"/>
    </font>
    <font>
      <b/>
      <i/>
      <sz val="11"/>
      <color theme="1"/>
      <name val="Cambria"/>
      <family val="1"/>
    </font>
    <font>
      <i/>
      <sz val="11"/>
      <color theme="1"/>
      <name val="Cambria"/>
      <family val="1"/>
    </font>
    <font>
      <b/>
      <sz val="12"/>
      <name val="Arial Narrow"/>
      <family val="2"/>
    </font>
    <font>
      <sz val="12"/>
      <name val="Arial Narrow"/>
      <family val="2"/>
    </font>
    <font>
      <sz val="10"/>
      <name val="Helvetica"/>
    </font>
    <font>
      <b/>
      <sz val="12"/>
      <name val="Cambria"/>
      <family val="1"/>
    </font>
    <font>
      <u/>
      <sz val="11"/>
      <color theme="10"/>
      <name val="Aptos Narrow"/>
      <family val="2"/>
      <scheme val="minor"/>
    </font>
    <font>
      <b/>
      <sz val="11"/>
      <color theme="0"/>
      <name val="Aptos Narrow"/>
      <family val="2"/>
      <scheme val="minor"/>
    </font>
    <font>
      <sz val="11"/>
      <color theme="0"/>
      <name val="Cambria"/>
      <family val="1"/>
    </font>
    <font>
      <b/>
      <sz val="18"/>
      <color theme="4" tint="-0.499984740745262"/>
      <name val="Cambria"/>
      <family val="1"/>
    </font>
    <font>
      <b/>
      <sz val="10"/>
      <color theme="0"/>
      <name val="Cambria"/>
      <family val="1"/>
    </font>
    <font>
      <b/>
      <sz val="10"/>
      <color theme="1"/>
      <name val="Cambria"/>
      <family val="1"/>
    </font>
    <font>
      <sz val="10"/>
      <color theme="1"/>
      <name val="Cambria"/>
      <family val="1"/>
    </font>
    <font>
      <i/>
      <sz val="10"/>
      <color theme="1"/>
      <name val="Cambria"/>
      <family val="1"/>
    </font>
    <font>
      <sz val="10"/>
      <color theme="1"/>
      <name val="Aptos Narrow"/>
      <family val="2"/>
      <scheme val="minor"/>
    </font>
    <font>
      <i/>
      <sz val="9"/>
      <color theme="1"/>
      <name val="Cambria"/>
      <family val="1"/>
    </font>
    <font>
      <i/>
      <sz val="8"/>
      <color theme="1"/>
      <name val="Cambria"/>
      <family val="1"/>
    </font>
  </fonts>
  <fills count="7">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16">
    <xf numFmtId="0" fontId="0" fillId="0" borderId="0" xfId="0"/>
    <xf numFmtId="0" fontId="2" fillId="0" borderId="0" xfId="0" applyFont="1"/>
    <xf numFmtId="9" fontId="0" fillId="0" borderId="0" xfId="3" applyFont="1"/>
    <xf numFmtId="44" fontId="0" fillId="0" borderId="0" xfId="0" applyNumberFormat="1"/>
    <xf numFmtId="8" fontId="0" fillId="0" borderId="0" xfId="0" applyNumberFormat="1"/>
    <xf numFmtId="0" fontId="0" fillId="2" borderId="0" xfId="0" applyFill="1"/>
    <xf numFmtId="166" fontId="0" fillId="0" borderId="0" xfId="3" applyNumberFormat="1" applyFont="1"/>
    <xf numFmtId="0" fontId="4" fillId="2" borderId="0" xfId="0" applyFont="1" applyFill="1"/>
    <xf numFmtId="0" fontId="5" fillId="0" borderId="0" xfId="0" applyFont="1"/>
    <xf numFmtId="0" fontId="9" fillId="0" borderId="0" xfId="0" applyFont="1"/>
    <xf numFmtId="0" fontId="0" fillId="4" borderId="0" xfId="0" applyFill="1"/>
    <xf numFmtId="0" fontId="13" fillId="4" borderId="0" xfId="0" applyFont="1" applyFill="1"/>
    <xf numFmtId="0" fontId="12" fillId="4" borderId="0" xfId="0" applyFont="1" applyFill="1"/>
    <xf numFmtId="0" fontId="14" fillId="4" borderId="0" xfId="0" applyFont="1" applyFill="1"/>
    <xf numFmtId="0" fontId="15" fillId="0" borderId="0" xfId="0" applyFont="1"/>
    <xf numFmtId="0" fontId="16" fillId="0" borderId="0" xfId="4"/>
    <xf numFmtId="0" fontId="9" fillId="4" borderId="0" xfId="0" applyFont="1" applyFill="1"/>
    <xf numFmtId="0" fontId="5" fillId="4" borderId="0" xfId="0" applyFont="1" applyFill="1"/>
    <xf numFmtId="0" fontId="6" fillId="4" borderId="0" xfId="0" applyFont="1" applyFill="1"/>
    <xf numFmtId="0" fontId="2" fillId="4" borderId="0" xfId="0" applyFont="1" applyFill="1"/>
    <xf numFmtId="164" fontId="6" fillId="4" borderId="0" xfId="0" applyNumberFormat="1" applyFont="1" applyFill="1"/>
    <xf numFmtId="164" fontId="5" fillId="4" borderId="0" xfId="0" applyNumberFormat="1" applyFont="1" applyFill="1"/>
    <xf numFmtId="164" fontId="5" fillId="3" borderId="1" xfId="0" applyNumberFormat="1" applyFont="1" applyFill="1" applyBorder="1" applyAlignment="1">
      <alignment horizontal="center"/>
    </xf>
    <xf numFmtId="164" fontId="6" fillId="5" borderId="1" xfId="2" applyNumberFormat="1" applyFont="1" applyFill="1" applyBorder="1"/>
    <xf numFmtId="0" fontId="15" fillId="4" borderId="0" xfId="0" applyFont="1" applyFill="1"/>
    <xf numFmtId="168" fontId="15" fillId="4" borderId="0" xfId="0" applyNumberFormat="1" applyFont="1" applyFill="1"/>
    <xf numFmtId="168" fontId="6" fillId="4" borderId="0" xfId="0" applyNumberFormat="1" applyFont="1" applyFill="1"/>
    <xf numFmtId="164" fontId="6" fillId="4" borderId="0" xfId="2" applyNumberFormat="1" applyFont="1" applyFill="1"/>
    <xf numFmtId="0" fontId="6" fillId="3" borderId="0" xfId="0" applyFont="1" applyFill="1"/>
    <xf numFmtId="0" fontId="4" fillId="4" borderId="0" xfId="0" applyFont="1" applyFill="1" applyAlignment="1">
      <alignment horizontal="center"/>
    </xf>
    <xf numFmtId="0" fontId="0" fillId="0" borderId="0" xfId="0" applyProtection="1">
      <protection hidden="1"/>
    </xf>
    <xf numFmtId="0" fontId="17" fillId="2" borderId="0" xfId="0" applyFont="1" applyFill="1" applyProtection="1">
      <protection hidden="1"/>
    </xf>
    <xf numFmtId="0" fontId="17" fillId="2" borderId="0" xfId="0" applyFont="1" applyFill="1" applyAlignment="1" applyProtection="1">
      <alignment horizontal="center"/>
      <protection hidden="1"/>
    </xf>
    <xf numFmtId="44" fontId="17" fillId="2" borderId="0" xfId="0" applyNumberFormat="1" applyFont="1" applyFill="1" applyProtection="1">
      <protection hidden="1"/>
    </xf>
    <xf numFmtId="164" fontId="0" fillId="0" borderId="0" xfId="0" applyNumberFormat="1" applyProtection="1">
      <protection hidden="1"/>
    </xf>
    <xf numFmtId="10" fontId="0" fillId="0" borderId="0" xfId="3" applyNumberFormat="1" applyFont="1" applyProtection="1">
      <protection hidden="1"/>
    </xf>
    <xf numFmtId="44" fontId="0" fillId="0" borderId="0" xfId="0" applyNumberFormat="1" applyProtection="1">
      <protection hidden="1"/>
    </xf>
    <xf numFmtId="10" fontId="0" fillId="0" borderId="0" xfId="0" applyNumberFormat="1" applyProtection="1">
      <protection hidden="1"/>
    </xf>
    <xf numFmtId="165" fontId="0" fillId="0" borderId="0" xfId="1" applyNumberFormat="1" applyFont="1" applyProtection="1">
      <protection hidden="1"/>
    </xf>
    <xf numFmtId="43" fontId="0" fillId="0" borderId="0" xfId="0" applyNumberFormat="1" applyProtection="1">
      <protection hidden="1"/>
    </xf>
    <xf numFmtId="0" fontId="2" fillId="0" borderId="0" xfId="0" applyFont="1" applyProtection="1">
      <protection hidden="1"/>
    </xf>
    <xf numFmtId="43" fontId="2" fillId="0" borderId="0" xfId="0" applyNumberFormat="1" applyFont="1" applyProtection="1">
      <protection hidden="1"/>
    </xf>
    <xf numFmtId="0" fontId="0" fillId="4" borderId="0" xfId="0" applyFill="1" applyProtection="1">
      <protection hidden="1"/>
    </xf>
    <xf numFmtId="0" fontId="0" fillId="4" borderId="0" xfId="0" applyFill="1" applyProtection="1">
      <protection locked="0"/>
    </xf>
    <xf numFmtId="0" fontId="5" fillId="4" borderId="0" xfId="0" applyFont="1" applyFill="1" applyProtection="1">
      <protection locked="0"/>
    </xf>
    <xf numFmtId="0" fontId="9" fillId="4" borderId="0" xfId="0" applyFont="1" applyFill="1" applyProtection="1">
      <protection locked="0"/>
    </xf>
    <xf numFmtId="0" fontId="4" fillId="2" borderId="0" xfId="0" applyFont="1" applyFill="1" applyProtection="1">
      <protection locked="0"/>
    </xf>
    <xf numFmtId="0" fontId="5" fillId="2" borderId="0" xfId="0" applyFont="1" applyFill="1" applyProtection="1">
      <protection locked="0"/>
    </xf>
    <xf numFmtId="0" fontId="7" fillId="2" borderId="0" xfId="0" applyFont="1" applyFill="1" applyAlignment="1" applyProtection="1">
      <alignment horizontal="center"/>
      <protection locked="0"/>
    </xf>
    <xf numFmtId="0" fontId="18" fillId="4" borderId="0" xfId="0" applyFont="1" applyFill="1" applyAlignment="1" applyProtection="1">
      <alignment horizontal="center"/>
      <protection locked="0"/>
    </xf>
    <xf numFmtId="164" fontId="5" fillId="4" borderId="0" xfId="2" applyNumberFormat="1" applyFont="1" applyFill="1" applyBorder="1" applyProtection="1">
      <protection locked="0"/>
    </xf>
    <xf numFmtId="9" fontId="5" fillId="4" borderId="0" xfId="3" applyFont="1" applyFill="1" applyBorder="1" applyProtection="1">
      <protection locked="0"/>
    </xf>
    <xf numFmtId="164" fontId="5" fillId="4" borderId="0" xfId="0" applyNumberFormat="1" applyFont="1" applyFill="1" applyProtection="1">
      <protection locked="0"/>
    </xf>
    <xf numFmtId="164" fontId="11" fillId="4" borderId="0" xfId="2" applyNumberFormat="1" applyFont="1" applyFill="1" applyBorder="1" applyProtection="1">
      <protection locked="0"/>
    </xf>
    <xf numFmtId="44" fontId="11" fillId="4" borderId="0" xfId="2" applyFont="1" applyFill="1" applyBorder="1" applyProtection="1">
      <protection locked="0"/>
    </xf>
    <xf numFmtId="165" fontId="5" fillId="4" borderId="0" xfId="1" applyNumberFormat="1" applyFont="1" applyFill="1" applyBorder="1" applyProtection="1">
      <protection locked="0"/>
    </xf>
    <xf numFmtId="0" fontId="6" fillId="4" borderId="0" xfId="0" applyFont="1" applyFill="1" applyProtection="1">
      <protection locked="0"/>
    </xf>
    <xf numFmtId="10" fontId="8" fillId="4" borderId="0" xfId="0" applyNumberFormat="1" applyFont="1" applyFill="1" applyAlignment="1" applyProtection="1">
      <alignment horizontal="right"/>
      <protection locked="0"/>
    </xf>
    <xf numFmtId="164" fontId="6" fillId="4" borderId="0" xfId="0" applyNumberFormat="1" applyFont="1" applyFill="1" applyProtection="1">
      <protection locked="0"/>
    </xf>
    <xf numFmtId="164" fontId="10" fillId="4" borderId="0" xfId="0" applyNumberFormat="1" applyFont="1" applyFill="1" applyProtection="1">
      <protection locked="0"/>
    </xf>
    <xf numFmtId="0" fontId="9" fillId="0" borderId="0" xfId="0" applyFont="1" applyProtection="1">
      <protection locked="0"/>
    </xf>
    <xf numFmtId="164" fontId="6" fillId="4" borderId="0" xfId="2" applyNumberFormat="1" applyFont="1" applyFill="1" applyBorder="1" applyProtection="1">
      <protection locked="0"/>
    </xf>
    <xf numFmtId="10" fontId="5" fillId="4" borderId="0" xfId="3" applyNumberFormat="1" applyFont="1" applyFill="1" applyBorder="1" applyProtection="1">
      <protection locked="0"/>
    </xf>
    <xf numFmtId="167" fontId="5" fillId="4" borderId="0" xfId="3" applyNumberFormat="1" applyFont="1" applyFill="1" applyBorder="1" applyProtection="1">
      <protection locked="0"/>
    </xf>
    <xf numFmtId="165" fontId="6" fillId="4" borderId="0" xfId="1" applyNumberFormat="1" applyFont="1" applyFill="1" applyAlignment="1" applyProtection="1">
      <alignment horizontal="right" indent="2"/>
      <protection locked="0"/>
    </xf>
    <xf numFmtId="10" fontId="6" fillId="4" borderId="0" xfId="3" applyNumberFormat="1" applyFont="1" applyFill="1" applyBorder="1" applyProtection="1">
      <protection locked="0"/>
    </xf>
    <xf numFmtId="44" fontId="6" fillId="4" borderId="0" xfId="0" applyNumberFormat="1" applyFont="1" applyFill="1" applyProtection="1">
      <protection locked="0"/>
    </xf>
    <xf numFmtId="1" fontId="5" fillId="4" borderId="0" xfId="1" applyNumberFormat="1" applyFont="1" applyFill="1" applyBorder="1" applyAlignment="1" applyProtection="1">
      <alignment horizontal="center" vertical="center"/>
      <protection locked="0"/>
    </xf>
    <xf numFmtId="8" fontId="6" fillId="4" borderId="0" xfId="0" applyNumberFormat="1" applyFont="1" applyFill="1" applyProtection="1">
      <protection locked="0"/>
    </xf>
    <xf numFmtId="0" fontId="4" fillId="4" borderId="0" xfId="0" applyFont="1" applyFill="1"/>
    <xf numFmtId="164" fontId="0" fillId="0" borderId="0" xfId="0" applyNumberFormat="1"/>
    <xf numFmtId="44" fontId="9" fillId="4" borderId="0" xfId="0" applyNumberFormat="1" applyFont="1" applyFill="1" applyProtection="1">
      <protection locked="0"/>
    </xf>
    <xf numFmtId="164" fontId="5" fillId="0" borderId="0" xfId="0" applyNumberFormat="1" applyFont="1"/>
    <xf numFmtId="164" fontId="8" fillId="4" borderId="0" xfId="0" applyNumberFormat="1" applyFont="1" applyFill="1" applyAlignment="1" applyProtection="1">
      <alignment horizontal="right"/>
      <protection locked="0"/>
    </xf>
    <xf numFmtId="164" fontId="9" fillId="0" borderId="0" xfId="0" applyNumberFormat="1" applyFont="1"/>
    <xf numFmtId="0" fontId="4" fillId="4" borderId="0" xfId="0" applyFont="1" applyFill="1" applyProtection="1">
      <protection locked="0"/>
    </xf>
    <xf numFmtId="0" fontId="7" fillId="4" borderId="0" xfId="0" applyFont="1" applyFill="1" applyAlignment="1" applyProtection="1">
      <alignment horizontal="center"/>
      <protection locked="0"/>
    </xf>
    <xf numFmtId="164" fontId="6" fillId="0" borderId="0" xfId="0" applyNumberFormat="1" applyFont="1"/>
    <xf numFmtId="0" fontId="20" fillId="2" borderId="0" xfId="0" applyFont="1" applyFill="1" applyProtection="1">
      <protection locked="0"/>
    </xf>
    <xf numFmtId="1" fontId="5" fillId="4" borderId="0" xfId="0" applyNumberFormat="1" applyFont="1" applyFill="1" applyProtection="1">
      <protection locked="0"/>
    </xf>
    <xf numFmtId="43" fontId="0" fillId="0" borderId="0" xfId="1" applyFont="1" applyProtection="1">
      <protection hidden="1"/>
    </xf>
    <xf numFmtId="9" fontId="5" fillId="6" borderId="0" xfId="3" applyFont="1" applyFill="1" applyBorder="1" applyProtection="1">
      <protection locked="0"/>
    </xf>
    <xf numFmtId="10" fontId="5" fillId="6" borderId="0" xfId="3" applyNumberFormat="1" applyFont="1" applyFill="1" applyBorder="1" applyProtection="1">
      <protection locked="0"/>
    </xf>
    <xf numFmtId="164" fontId="10" fillId="4" borderId="0" xfId="2" applyNumberFormat="1" applyFont="1" applyFill="1" applyBorder="1" applyProtection="1">
      <protection locked="0"/>
    </xf>
    <xf numFmtId="166" fontId="5" fillId="6" borderId="0" xfId="3" applyNumberFormat="1" applyFont="1" applyFill="1" applyBorder="1" applyProtection="1">
      <protection locked="0"/>
    </xf>
    <xf numFmtId="43" fontId="0" fillId="0" borderId="0" xfId="0" applyNumberFormat="1"/>
    <xf numFmtId="43" fontId="0" fillId="0" borderId="0" xfId="1" applyFont="1"/>
    <xf numFmtId="44" fontId="5" fillId="4" borderId="0" xfId="0" applyNumberFormat="1" applyFont="1" applyFill="1"/>
    <xf numFmtId="10" fontId="6" fillId="4" borderId="0" xfId="3" applyNumberFormat="1" applyFont="1" applyFill="1" applyProtection="1">
      <protection locked="0"/>
    </xf>
    <xf numFmtId="10" fontId="6" fillId="4" borderId="0" xfId="0" applyNumberFormat="1" applyFont="1" applyFill="1"/>
    <xf numFmtId="0" fontId="21" fillId="4" borderId="0" xfId="0" applyFont="1" applyFill="1"/>
    <xf numFmtId="0" fontId="22" fillId="4" borderId="0" xfId="0" applyFont="1" applyFill="1"/>
    <xf numFmtId="164" fontId="22" fillId="4" borderId="0" xfId="0" applyNumberFormat="1" applyFont="1" applyFill="1" applyProtection="1">
      <protection locked="0"/>
    </xf>
    <xf numFmtId="0" fontId="22" fillId="4" borderId="0" xfId="0" applyFont="1" applyFill="1" applyProtection="1">
      <protection locked="0"/>
    </xf>
    <xf numFmtId="10" fontId="22" fillId="4" borderId="0" xfId="3" applyNumberFormat="1" applyFont="1" applyFill="1" applyBorder="1" applyProtection="1">
      <protection locked="0"/>
    </xf>
    <xf numFmtId="10" fontId="22" fillId="4" borderId="0" xfId="0" applyNumberFormat="1" applyFont="1" applyFill="1"/>
    <xf numFmtId="0" fontId="22" fillId="4" borderId="2" xfId="0" applyFont="1" applyFill="1" applyBorder="1" applyProtection="1">
      <protection locked="0"/>
    </xf>
    <xf numFmtId="1" fontId="22" fillId="4" borderId="2" xfId="0" applyNumberFormat="1" applyFont="1" applyFill="1" applyBorder="1" applyProtection="1">
      <protection locked="0"/>
    </xf>
    <xf numFmtId="0" fontId="22" fillId="4" borderId="2" xfId="0" applyFont="1" applyFill="1" applyBorder="1"/>
    <xf numFmtId="164" fontId="22" fillId="4" borderId="2" xfId="0" applyNumberFormat="1" applyFont="1" applyFill="1" applyBorder="1" applyProtection="1">
      <protection locked="0"/>
    </xf>
    <xf numFmtId="0" fontId="21" fillId="4" borderId="2" xfId="0" applyFont="1" applyFill="1" applyBorder="1"/>
    <xf numFmtId="10" fontId="21" fillId="4" borderId="2" xfId="3" applyNumberFormat="1" applyFont="1" applyFill="1" applyBorder="1" applyProtection="1">
      <protection locked="0"/>
    </xf>
    <xf numFmtId="0" fontId="24" fillId="4" borderId="0" xfId="0" applyFont="1" applyFill="1"/>
    <xf numFmtId="0" fontId="24" fillId="4" borderId="0" xfId="0" applyFont="1" applyFill="1" applyAlignment="1">
      <alignment horizontal="right"/>
    </xf>
    <xf numFmtId="10" fontId="21" fillId="4" borderId="0" xfId="3" applyNumberFormat="1" applyFont="1" applyFill="1" applyBorder="1" applyProtection="1">
      <protection locked="0"/>
    </xf>
    <xf numFmtId="164" fontId="21" fillId="4" borderId="0" xfId="0" applyNumberFormat="1" applyFont="1" applyFill="1" applyProtection="1">
      <protection locked="0"/>
    </xf>
    <xf numFmtId="0" fontId="23" fillId="4" borderId="0" xfId="0" applyFont="1" applyFill="1" applyAlignment="1" applyProtection="1">
      <alignment horizontal="center"/>
      <protection locked="0"/>
    </xf>
    <xf numFmtId="0" fontId="25" fillId="4" borderId="3" xfId="0" applyFont="1" applyFill="1" applyBorder="1" applyAlignment="1">
      <alignment horizontal="center" vertical="top" wrapText="1"/>
    </xf>
    <xf numFmtId="0" fontId="25" fillId="4" borderId="0" xfId="0" applyFont="1" applyFill="1" applyAlignment="1">
      <alignment horizontal="center" vertical="top" wrapText="1"/>
    </xf>
    <xf numFmtId="0" fontId="20" fillId="2" borderId="0" xfId="0" applyFont="1" applyFill="1" applyAlignment="1" applyProtection="1">
      <alignment horizontal="center"/>
      <protection locked="0"/>
    </xf>
    <xf numFmtId="0" fontId="4" fillId="2" borderId="0" xfId="0" applyFont="1" applyFill="1" applyAlignment="1">
      <alignment horizontal="center"/>
    </xf>
    <xf numFmtId="0" fontId="11" fillId="4" borderId="0" xfId="0" applyFont="1" applyFill="1" applyAlignment="1">
      <alignment horizontal="left" vertical="top" wrapText="1"/>
    </xf>
    <xf numFmtId="0" fontId="0" fillId="4" borderId="0" xfId="0" applyFill="1" applyAlignment="1">
      <alignment horizontal="center"/>
    </xf>
    <xf numFmtId="0" fontId="19" fillId="4" borderId="0" xfId="0" applyFont="1" applyFill="1" applyAlignment="1">
      <alignment horizontal="center"/>
    </xf>
    <xf numFmtId="0" fontId="3" fillId="2" borderId="0" xfId="0" applyFont="1" applyFill="1" applyAlignment="1">
      <alignment horizontal="left"/>
    </xf>
    <xf numFmtId="0" fontId="26" fillId="4" borderId="0" xfId="0" applyFont="1" applyFill="1"/>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'All Cash'!$O$5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'All Cash'!$O$7:$O$36</c:f>
              <c:numCache>
                <c:formatCode>0.00%</c:formatCode>
                <c:ptCount val="30"/>
                <c:pt idx="0">
                  <c:v>1.4566354311447663E-2</c:v>
                </c:pt>
                <c:pt idx="1">
                  <c:v>4.9686867884680096E-2</c:v>
                </c:pt>
                <c:pt idx="2">
                  <c:v>6.1781784350378725E-2</c:v>
                </c:pt>
                <c:pt idx="3">
                  <c:v>6.8130488602652736E-2</c:v>
                </c:pt>
                <c:pt idx="4">
                  <c:v>7.2189142858100824E-2</c:v>
                </c:pt>
                <c:pt idx="5">
                  <c:v>7.5110047206505076E-2</c:v>
                </c:pt>
                <c:pt idx="6">
                  <c:v>7.7387262796227388E-2</c:v>
                </c:pt>
                <c:pt idx="7">
                  <c:v>7.9268017856587367E-2</c:v>
                </c:pt>
                <c:pt idx="8">
                  <c:v>8.0889843246601312E-2</c:v>
                </c:pt>
                <c:pt idx="9">
                  <c:v>8.233542686817967E-2</c:v>
                </c:pt>
                <c:pt idx="10">
                  <c:v>8.3657547672563781E-2</c:v>
                </c:pt>
                <c:pt idx="11">
                  <c:v>8.4891542836459791E-2</c:v>
                </c:pt>
                <c:pt idx="12">
                  <c:v>8.6062021022080451E-2</c:v>
                </c:pt>
                <c:pt idx="13">
                  <c:v>8.7186698684510344E-2</c:v>
                </c:pt>
                <c:pt idx="14">
                  <c:v>8.8278702009496238E-2</c:v>
                </c:pt>
                <c:pt idx="15">
                  <c:v>8.9348005773384656E-2</c:v>
                </c:pt>
                <c:pt idx="16">
                  <c:v>9.0402364515106581E-2</c:v>
                </c:pt>
                <c:pt idx="17">
                  <c:v>9.1447933459205488E-2</c:v>
                </c:pt>
                <c:pt idx="18">
                  <c:v>9.2489693496854444E-2</c:v>
                </c:pt>
                <c:pt idx="19">
                  <c:v>9.3531748809185716E-2</c:v>
                </c:pt>
                <c:pt idx="20">
                  <c:v>9.4577539590050136E-2</c:v>
                </c:pt>
                <c:pt idx="21">
                  <c:v>9.5629996886522087E-2</c:v>
                </c:pt>
                <c:pt idx="22">
                  <c:v>9.6691657177943077E-2</c:v>
                </c:pt>
                <c:pt idx="23">
                  <c:v>9.7764748440848051E-2</c:v>
                </c:pt>
                <c:pt idx="24">
                  <c:v>9.8851255688116868E-2</c:v>
                </c:pt>
                <c:pt idx="25">
                  <c:v>9.9952971512889094E-2</c:v>
                </c:pt>
                <c:pt idx="26">
                  <c:v>0.10107153552925091</c:v>
                </c:pt>
                <c:pt idx="27">
                  <c:v>0.10220846548984583</c:v>
                </c:pt>
                <c:pt idx="28">
                  <c:v>0.10336518209377013</c:v>
                </c:pt>
                <c:pt idx="29">
                  <c:v>0.104543028961365</c:v>
                </c:pt>
              </c:numCache>
            </c:numRef>
          </c:val>
          <c:smooth val="0"/>
          <c:extLst>
            <c:ext xmlns:c16="http://schemas.microsoft.com/office/drawing/2014/chart" uri="{C3380CC4-5D6E-409C-BE32-E72D297353CC}">
              <c16:uniqueId val="{00000000-0CF2-4C58-88F0-63307AC26BC6}"/>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'All Cash'!$M$5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'All Cash'!$M$7:$M$36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0CF2-4C58-88F0-63307AC26BC6}"/>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'All Cash'!$N$5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'All Cash'!$N$7:$N$36</c15:sqref>
                        </c15:formulaRef>
                      </c:ext>
                    </c:extLst>
                    <c:numCache>
                      <c:formatCode>_("$"* #,##0_);_("$"* \(#,##0\);_("$"* "-"??_);_(@_)</c:formatCode>
                      <c:ptCount val="30"/>
                      <c:pt idx="0">
                        <c:v>5768.2763073332753</c:v>
                      </c:pt>
                      <c:pt idx="1">
                        <c:v>39351.999364666641</c:v>
                      </c:pt>
                      <c:pt idx="2">
                        <c:v>73396.759808249932</c:v>
                      </c:pt>
                      <c:pt idx="3">
                        <c:v>107918.69394660194</c:v>
                      </c:pt>
                      <c:pt idx="4">
                        <c:v>142934.50285903964</c:v>
                      </c:pt>
                      <c:pt idx="5">
                        <c:v>178461.47216265608</c:v>
                      </c:pt>
                      <c:pt idx="6">
                        <c:v>214517.49247114232</c:v>
                      </c:pt>
                      <c:pt idx="7">
                        <c:v>251121.08056966882</c:v>
                      </c:pt>
                      <c:pt idx="8">
                        <c:v>288291.40133088711</c:v>
                      </c:pt>
                      <c:pt idx="9">
                        <c:v>326048.29039799154</c:v>
                      </c:pt>
                      <c:pt idx="10">
                        <c:v>364412.27766168793</c:v>
                      </c:pt>
                      <c:pt idx="11">
                        <c:v>403404.61155885702</c:v>
                      </c:pt>
                      <c:pt idx="12">
                        <c:v>443047.28422167024</c:v>
                      </c:pt>
                      <c:pt idx="13">
                        <c:v>483363.05750692543</c:v>
                      </c:pt>
                      <c:pt idx="14">
                        <c:v>524375.48993640777</c:v>
                      </c:pt>
                      <c:pt idx="15">
                        <c:v>566108.96458016522</c:v>
                      </c:pt>
                      <c:pt idx="16">
                        <c:v>608588.71791569761</c:v>
                      </c:pt>
                      <c:pt idx="17">
                        <c:v>651840.8696972169</c:v>
                      </c:pt>
                      <c:pt idx="18">
                        <c:v>695892.45387033292</c:v>
                      </c:pt>
                      <c:pt idx="19">
                        <c:v>740771.45056875097</c:v>
                      </c:pt>
                      <c:pt idx="20">
                        <c:v>786506.81923085707</c:v>
                      </c:pt>
                      <c:pt idx="21">
                        <c:v>833128.5328753806</c:v>
                      </c:pt>
                      <c:pt idx="22">
                        <c:v>880667.61357670557</c:v>
                      </c:pt>
                      <c:pt idx="23">
                        <c:v>929156.16918182012</c:v>
                      </c:pt>
                      <c:pt idx="24">
                        <c:v>978627.43131235708</c:v>
                      </c:pt>
                      <c:pt idx="25">
                        <c:v>1029115.7946967063</c:v>
                      </c:pt>
                      <c:pt idx="26">
                        <c:v>1080656.8578787509</c:v>
                      </c:pt>
                      <c:pt idx="27">
                        <c:v>1133287.4653514107</c:v>
                      </c:pt>
                      <c:pt idx="28">
                        <c:v>1187045.7511648564</c:v>
                      </c:pt>
                      <c:pt idx="29">
                        <c:v>1241971.1840610164</c:v>
                      </c:pt>
                    </c:numCache>
                  </c:numRef>
                </c:val>
                <c:smooth val="0"/>
                <c:extLst xmlns:c15="http://schemas.microsoft.com/office/drawing/2012/chart">
                  <c:ext xmlns:c16="http://schemas.microsoft.com/office/drawing/2014/chart" uri="{C3380CC4-5D6E-409C-BE32-E72D297353CC}">
                    <c16:uniqueId val="{00000002-0CF2-4C58-88F0-63307AC26BC6}"/>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'With Loan'!$O$5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'With Loan'!$O$7:$O$36</c:f>
              <c:numCache>
                <c:formatCode>0.00%</c:formatCode>
                <c:ptCount val="30"/>
                <c:pt idx="0">
                  <c:v>-3.4211682835759823E-2</c:v>
                </c:pt>
                <c:pt idx="1">
                  <c:v>7.4436621009851781E-2</c:v>
                </c:pt>
                <c:pt idx="2">
                  <c:v>0.11236055005775651</c:v>
                </c:pt>
                <c:pt idx="3">
                  <c:v>0.13264943426281023</c:v>
                </c:pt>
                <c:pt idx="4">
                  <c:v>0.14592246617011601</c:v>
                </c:pt>
                <c:pt idx="5">
                  <c:v>0.15572052196323014</c:v>
                </c:pt>
                <c:pt idx="6">
                  <c:v>0.16356213713448262</c:v>
                </c:pt>
                <c:pt idx="7">
                  <c:v>0.17020750152217204</c:v>
                </c:pt>
                <c:pt idx="8">
                  <c:v>0.17607979202086538</c:v>
                </c:pt>
                <c:pt idx="9">
                  <c:v>0.18143370662722649</c:v>
                </c:pt>
                <c:pt idx="10">
                  <c:v>0.18643207173041398</c:v>
                </c:pt>
                <c:pt idx="11">
                  <c:v>0.19118414661778185</c:v>
                </c:pt>
                <c:pt idx="12">
                  <c:v>0.19576624980101545</c:v>
                </c:pt>
                <c:pt idx="13">
                  <c:v>0.20023354628015966</c:v>
                </c:pt>
                <c:pt idx="14">
                  <c:v>0.20462712066795222</c:v>
                </c:pt>
                <c:pt idx="15">
                  <c:v>0.20897839863658407</c:v>
                </c:pt>
                <c:pt idx="16">
                  <c:v>0.21331200857948029</c:v>
                </c:pt>
                <c:pt idx="17">
                  <c:v>0.21764769009597171</c:v>
                </c:pt>
                <c:pt idx="18">
                  <c:v>0.22200160049373791</c:v>
                </c:pt>
                <c:pt idx="19">
                  <c:v>0.22638723002679079</c:v>
                </c:pt>
                <c:pt idx="20">
                  <c:v>0.2308160563141603</c:v>
                </c:pt>
                <c:pt idx="21">
                  <c:v>0.23529802095066185</c:v>
                </c:pt>
                <c:pt idx="22">
                  <c:v>0.23984188244841084</c:v>
                </c:pt>
                <c:pt idx="23">
                  <c:v>0.24445548160234032</c:v>
                </c:pt>
                <c:pt idx="24">
                  <c:v>0.24914594382393462</c:v>
                </c:pt>
                <c:pt idx="25">
                  <c:v>0.25391983543612928</c:v>
                </c:pt>
                <c:pt idx="26">
                  <c:v>0.25878328588817778</c:v>
                </c:pt>
                <c:pt idx="27">
                  <c:v>0.26374208443328367</c:v>
                </c:pt>
                <c:pt idx="28">
                  <c:v>0.26880175745596152</c:v>
                </c:pt>
                <c:pt idx="29">
                  <c:v>0.27396763098703381</c:v>
                </c:pt>
              </c:numCache>
            </c:numRef>
          </c:val>
          <c:smooth val="0"/>
          <c:extLst>
            <c:ext xmlns:c16="http://schemas.microsoft.com/office/drawing/2014/chart" uri="{C3380CC4-5D6E-409C-BE32-E72D297353CC}">
              <c16:uniqueId val="{00000000-F50A-4A7D-BD8C-8909B2749CF2}"/>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'With Loan'!$M$5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'With Loan'!$M$7:$M$36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F50A-4A7D-BD8C-8909B2749CF2}"/>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'With Loan'!$N$5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'With Loan'!$N$7:$N$36</c15:sqref>
                        </c15:formulaRef>
                      </c:ext>
                    </c:extLst>
                    <c:numCache>
                      <c:formatCode>_("$"* #,##0_);_("$"* \(#,##0\);_("$"* "-"??_);_(@_)</c:formatCode>
                      <c:ptCount val="30"/>
                      <c:pt idx="0">
                        <c:v>-4409.5583304611318</c:v>
                      </c:pt>
                      <c:pt idx="1">
                        <c:v>19188.335390639379</c:v>
                      </c:pt>
                      <c:pt idx="2">
                        <c:v>43446.597049984426</c:v>
                      </c:pt>
                      <c:pt idx="3">
                        <c:v>68388.967674298299</c:v>
                      </c:pt>
                      <c:pt idx="4">
                        <c:v>94040.043190932513</c:v>
                      </c:pt>
                      <c:pt idx="5">
                        <c:v>120425.30526367194</c:v>
                      </c:pt>
                      <c:pt idx="6">
                        <c:v>147571.15324267439</c:v>
                      </c:pt>
                      <c:pt idx="7">
                        <c:v>175504.93726887149</c:v>
                      </c:pt>
                      <c:pt idx="8">
                        <c:v>204254.99257461581</c:v>
                      </c:pt>
                      <c:pt idx="9">
                        <c:v>233850.6750238786</c:v>
                      </c:pt>
                      <c:pt idx="10">
                        <c:v>264322.39793687069</c:v>
                      </c:pt>
                      <c:pt idx="11">
                        <c:v>295701.67024558841</c:v>
                      </c:pt>
                      <c:pt idx="12">
                        <c:v>328021.13602846966</c:v>
                      </c:pt>
                      <c:pt idx="13">
                        <c:v>361314.61547409731</c:v>
                      </c:pt>
                      <c:pt idx="14">
                        <c:v>395617.14732569247</c:v>
                      </c:pt>
                      <c:pt idx="15">
                        <c:v>430965.03286002611</c:v>
                      </c:pt>
                      <c:pt idx="16">
                        <c:v>467395.88145631202</c:v>
                      </c:pt>
                      <c:pt idx="17">
                        <c:v>504948.65781266947</c:v>
                      </c:pt>
                      <c:pt idx="18">
                        <c:v>543663.73086982837</c:v>
                      </c:pt>
                      <c:pt idx="19">
                        <c:v>583582.92450391513</c:v>
                      </c:pt>
                      <c:pt idx="20">
                        <c:v>624749.57005240279</c:v>
                      </c:pt>
                      <c:pt idx="21">
                        <c:v>667208.56073963526</c:v>
                      </c:pt>
                      <c:pt idx="22">
                        <c:v>711006.40807074052</c:v>
                      </c:pt>
                      <c:pt idx="23">
                        <c:v>756191.30026525434</c:v>
                      </c:pt>
                      <c:pt idx="24">
                        <c:v>802813.1628043548</c:v>
                      </c:pt>
                      <c:pt idx="25">
                        <c:v>850923.72116829664</c:v>
                      </c:pt>
                      <c:pt idx="26">
                        <c:v>900576.56584341289</c:v>
                      </c:pt>
                      <c:pt idx="27">
                        <c:v>951827.219680932</c:v>
                      </c:pt>
                      <c:pt idx="28">
                        <c:v>1004733.2076928476</c:v>
                      </c:pt>
                      <c:pt idx="29">
                        <c:v>1059354.1293731674</c:v>
                      </c:pt>
                    </c:numCache>
                  </c:numRef>
                </c:val>
                <c:smooth val="0"/>
                <c:extLst xmlns:c15="http://schemas.microsoft.com/office/drawing/2012/chart">
                  <c:ext xmlns:c16="http://schemas.microsoft.com/office/drawing/2014/chart" uri="{C3380CC4-5D6E-409C-BE32-E72D297353CC}">
                    <c16:uniqueId val="{00000002-F50A-4A7D-BD8C-8909B2749CF2}"/>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'Owner Occupier'!$O$5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'Owner Occupier'!$O$7:$O$36</c:f>
              <c:numCache>
                <c:formatCode>0.00%</c:formatCode>
                <c:ptCount val="30"/>
                <c:pt idx="0">
                  <c:v>-0.32766702059155367</c:v>
                </c:pt>
                <c:pt idx="1">
                  <c:v>0.22803321907773652</c:v>
                </c:pt>
                <c:pt idx="2">
                  <c:v>0.42313994844884384</c:v>
                </c:pt>
                <c:pt idx="3">
                  <c:v>0.5283811943648794</c:v>
                </c:pt>
                <c:pt idx="4">
                  <c:v>0.59791130559142824</c:v>
                </c:pt>
                <c:pt idx="5">
                  <c:v>0.64978930259629486</c:v>
                </c:pt>
                <c:pt idx="6">
                  <c:v>0.69176150859129315</c:v>
                </c:pt>
                <c:pt idx="7">
                  <c:v>0.72770721606900279</c:v>
                </c:pt>
                <c:pt idx="8">
                  <c:v>0.7597872504280172</c:v>
                </c:pt>
                <c:pt idx="9">
                  <c:v>0.78930340301672997</c:v>
                </c:pt>
                <c:pt idx="10">
                  <c:v>0.81708908969640248</c:v>
                </c:pt>
                <c:pt idx="11">
                  <c:v>0.84370468696732359</c:v>
                </c:pt>
                <c:pt idx="12">
                  <c:v>0.86954271953089435</c:v>
                </c:pt>
                <c:pt idx="13">
                  <c:v>0.89488797381407104</c:v>
                </c:pt>
                <c:pt idx="14">
                  <c:v>0.91995357224440022</c:v>
                </c:pt>
                <c:pt idx="15">
                  <c:v>0.94490352567877256</c:v>
                </c:pt>
                <c:pt idx="16">
                  <c:v>0.96986733203165842</c:v>
                </c:pt>
                <c:pt idx="17">
                  <c:v>0.99494971447027103</c:v>
                </c:pt>
                <c:pt idx="18">
                  <c:v>1.0202372900821444</c:v>
                </c:pt>
                <c:pt idx="19">
                  <c:v>1.0458032435668794</c:v>
                </c:pt>
                <c:pt idx="20">
                  <c:v>1.0717106711591495</c:v>
                </c:pt>
                <c:pt idx="21">
                  <c:v>1.0980150181049029</c:v>
                </c:pt>
                <c:pt idx="22">
                  <c:v>1.1247658857785736</c:v>
                </c:pt>
                <c:pt idx="23">
                  <c:v>1.1520083925081359</c:v>
                </c:pt>
                <c:pt idx="24">
                  <c:v>1.1797842132817014</c:v>
                </c:pt>
                <c:pt idx="25">
                  <c:v>1.2081323850026675</c:v>
                </c:pt>
                <c:pt idx="26">
                  <c:v>1.2370899382896012</c:v>
                </c:pt>
                <c:pt idx="27">
                  <c:v>1.2666923993979005</c:v>
                </c:pt>
                <c:pt idx="28">
                  <c:v>1.2969741938273907</c:v>
                </c:pt>
                <c:pt idx="29">
                  <c:v>1.3279689747713341</c:v>
                </c:pt>
              </c:numCache>
            </c:numRef>
          </c:val>
          <c:smooth val="0"/>
          <c:extLst>
            <c:ext xmlns:c16="http://schemas.microsoft.com/office/drawing/2014/chart" uri="{C3380CC4-5D6E-409C-BE32-E72D297353CC}">
              <c16:uniqueId val="{00000000-3472-40B5-AC9C-E6F06108AAA9}"/>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'Owner Occupier'!$M$5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'Owner Occupier'!$M$7:$M$36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3472-40B5-AC9C-E6F06108AAA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'Owner Occupier'!$N$5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'Owner Occupier'!$N$7:$N$36</c15:sqref>
                        </c15:formulaRef>
                      </c:ext>
                    </c:extLst>
                    <c:numCache>
                      <c:formatCode>_("$"* #,##0_);_("$"* \(#,##0\);_("$"* "-"??_);_(@_)</c:formatCode>
                      <c:ptCount val="30"/>
                      <c:pt idx="0">
                        <c:v>-8281.9231061939936</c:v>
                      </c:pt>
                      <c:pt idx="1">
                        <c:v>11527.272916573678</c:v>
                      </c:pt>
                      <c:pt idx="2">
                        <c:v>32085.125715906874</c:v>
                      </c:pt>
                      <c:pt idx="3">
                        <c:v>53420.23636786687</c:v>
                      </c:pt>
                      <c:pt idx="4">
                        <c:v>75562.310913872789</c:v>
                      </c:pt>
                      <c:pt idx="5">
                        <c:v>98542.203538478207</c:v>
                      </c:pt>
                      <c:pt idx="6">
                        <c:v>122391.96145356193</c:v>
                      </c:pt>
                      <c:pt idx="7">
                        <c:v>147144.8715571184</c:v>
                      </c:pt>
                      <c:pt idx="8">
                        <c:v>172835.50893758275</c:v>
                      </c:pt>
                      <c:pt idx="9">
                        <c:v>199499.78729749253</c:v>
                      </c:pt>
                      <c:pt idx="10">
                        <c:v>227175.01137327144</c:v>
                      </c:pt>
                      <c:pt idx="11">
                        <c:v>255899.93143102297</c:v>
                      </c:pt>
                      <c:pt idx="12">
                        <c:v>285714.79992145125</c:v>
                      </c:pt>
                      <c:pt idx="13">
                        <c:v>316661.43038039072</c:v>
                      </c:pt>
                      <c:pt idx="14">
                        <c:v>348783.25866492465</c:v>
                      </c:pt>
                      <c:pt idx="15">
                        <c:v>382125.40661871753</c:v>
                      </c:pt>
                      <c:pt idx="16">
                        <c:v>416734.74826397293</c:v>
                      </c:pt>
                      <c:pt idx="17">
                        <c:v>452659.97862138069</c:v>
                      </c:pt>
                      <c:pt idx="18">
                        <c:v>489951.68526352255</c:v>
                      </c:pt>
                      <c:pt idx="19">
                        <c:v>528662.42271148029</c:v>
                      </c:pt>
                      <c:pt idx="20">
                        <c:v>568846.78978884383</c:v>
                      </c:pt>
                      <c:pt idx="21">
                        <c:v>610561.51005194953</c:v>
                      </c:pt>
                      <c:pt idx="22">
                        <c:v>653865.51541999821</c:v>
                      </c:pt>
                      <c:pt idx="23">
                        <c:v>698820.03313373181</c:v>
                      </c:pt>
                      <c:pt idx="24">
                        <c:v>745488.67617656209</c:v>
                      </c:pt>
                      <c:pt idx="25">
                        <c:v>793937.53729749634</c:v>
                      </c:pt>
                      <c:pt idx="26">
                        <c:v>844235.28678085993</c:v>
                      </c:pt>
                      <c:pt idx="27">
                        <c:v>896453.2741137197</c:v>
                      </c:pt>
                      <c:pt idx="28">
                        <c:v>950665.63370804209</c:v>
                      </c:pt>
                      <c:pt idx="29">
                        <c:v>1006949.3948410164</c:v>
                      </c:pt>
                    </c:numCache>
                  </c:numRef>
                </c:val>
                <c:smooth val="0"/>
                <c:extLst xmlns:c15="http://schemas.microsoft.com/office/drawing/2012/chart">
                  <c:ext xmlns:c16="http://schemas.microsoft.com/office/drawing/2014/chart" uri="{C3380CC4-5D6E-409C-BE32-E72D297353CC}">
                    <c16:uniqueId val="{00000002-3472-40B5-AC9C-E6F06108AAA9}"/>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76759</xdr:colOff>
      <xdr:row>38</xdr:row>
      <xdr:rowOff>95250</xdr:rowOff>
    </xdr:from>
    <xdr:to>
      <xdr:col>4</xdr:col>
      <xdr:colOff>1229285</xdr:colOff>
      <xdr:row>42</xdr:row>
      <xdr:rowOff>133350</xdr:rowOff>
    </xdr:to>
    <xdr:sp macro="" textlink="">
      <xdr:nvSpPr>
        <xdr:cNvPr id="7" name="TextBox 3">
          <a:extLst>
            <a:ext uri="{FF2B5EF4-FFF2-40B4-BE49-F238E27FC236}">
              <a16:creationId xmlns:a16="http://schemas.microsoft.com/office/drawing/2014/main" id="{7039BF56-D730-64D7-B859-B0E1DD282887}"/>
            </a:ext>
          </a:extLst>
        </xdr:cNvPr>
        <xdr:cNvSpPr txBox="1"/>
      </xdr:nvSpPr>
      <xdr:spPr>
        <a:xfrm>
          <a:off x="76759" y="7324725"/>
          <a:ext cx="5734051"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1" u="none" strike="noStrike">
              <a:solidFill>
                <a:schemeClr val="dk1"/>
              </a:solidFill>
              <a:effectLst/>
              <a:latin typeface="+mn-lt"/>
              <a:ea typeface="+mn-ea"/>
              <a:cs typeface="+mn-cs"/>
            </a:rPr>
            <a:t>DISCLAIMER - </a:t>
          </a:r>
          <a:r>
            <a:rPr lang="en-US" sz="900" b="0" i="1" u="none" strike="noStrike">
              <a:solidFill>
                <a:schemeClr val="dk1"/>
              </a:solidFill>
              <a:effectLst/>
              <a:latin typeface="+mn-lt"/>
              <a:ea typeface="+mn-ea"/>
              <a:cs typeface="+mn-cs"/>
            </a:rPr>
            <a:t>Returns are based on assumptions. Actual returns will vary. Rosehaven Homes, LLC and Magnolia Village at Cinco Lakes, LLC  (the "Parties")</a:t>
          </a:r>
          <a:r>
            <a:rPr lang="en-US" sz="900" b="0" i="1" u="none" strike="noStrike" baseline="0">
              <a:solidFill>
                <a:schemeClr val="dk1"/>
              </a:solidFill>
              <a:effectLst/>
              <a:latin typeface="+mn-lt"/>
              <a:ea typeface="+mn-ea"/>
              <a:cs typeface="+mn-cs"/>
            </a:rPr>
            <a:t> </a:t>
          </a:r>
          <a:r>
            <a:rPr lang="en-US" sz="900" b="0" i="1" u="none" strike="noStrike">
              <a:solidFill>
                <a:schemeClr val="dk1"/>
              </a:solidFill>
              <a:effectLst/>
              <a:latin typeface="+mn-lt"/>
              <a:ea typeface="+mn-ea"/>
              <a:cs typeface="+mn-cs"/>
            </a:rPr>
            <a:t>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The Parities hereby disclaim any liability for the accuracy, completeness, or correctness of any information or assumptions provided. </a:t>
          </a:r>
          <a:r>
            <a:rPr lang="en-US" sz="900"/>
            <a:t> </a:t>
          </a:r>
        </a:p>
      </xdr:txBody>
    </xdr:sp>
    <xdr:clientData/>
  </xdr:twoCellAnchor>
  <xdr:twoCellAnchor editAs="oneCell">
    <xdr:from>
      <xdr:col>1</xdr:col>
      <xdr:colOff>1800225</xdr:colOff>
      <xdr:row>0</xdr:row>
      <xdr:rowOff>76200</xdr:rowOff>
    </xdr:from>
    <xdr:to>
      <xdr:col>3</xdr:col>
      <xdr:colOff>571500</xdr:colOff>
      <xdr:row>3</xdr:row>
      <xdr:rowOff>142958</xdr:rowOff>
    </xdr:to>
    <xdr:pic>
      <xdr:nvPicPr>
        <xdr:cNvPr id="13" name="Picture 12">
          <a:extLst>
            <a:ext uri="{FF2B5EF4-FFF2-40B4-BE49-F238E27FC236}">
              <a16:creationId xmlns:a16="http://schemas.microsoft.com/office/drawing/2014/main" id="{E5F5B517-63C9-0186-EEBF-61F9B97EA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0" y="76200"/>
          <a:ext cx="2000250" cy="633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626722</xdr:colOff>
      <xdr:row>3</xdr:row>
      <xdr:rowOff>8062</xdr:rowOff>
    </xdr:to>
    <xdr:pic>
      <xdr:nvPicPr>
        <xdr:cNvPr id="2" name="Picture 1">
          <a:extLst>
            <a:ext uri="{FF2B5EF4-FFF2-40B4-BE49-F238E27FC236}">
              <a16:creationId xmlns:a16="http://schemas.microsoft.com/office/drawing/2014/main" id="{503E81F2-F9C4-4D05-AD71-84085203C2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BC16C3B8-6024-4C65-83F2-833C41994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645772</xdr:colOff>
      <xdr:row>3</xdr:row>
      <xdr:rowOff>8062</xdr:rowOff>
    </xdr:to>
    <xdr:pic>
      <xdr:nvPicPr>
        <xdr:cNvPr id="4" name="Picture 3">
          <a:extLst>
            <a:ext uri="{FF2B5EF4-FFF2-40B4-BE49-F238E27FC236}">
              <a16:creationId xmlns:a16="http://schemas.microsoft.com/office/drawing/2014/main" id="{6245581B-09C2-7A28-736B-AE93518CAF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6468" y="36741"/>
          <a:ext cx="1868907" cy="617585"/>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2" name="Chart 1">
          <a:extLst>
            <a:ext uri="{FF2B5EF4-FFF2-40B4-BE49-F238E27FC236}">
              <a16:creationId xmlns:a16="http://schemas.microsoft.com/office/drawing/2014/main" id="{E27D4E81-4D61-4243-A311-D0EB4E10A7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626723</xdr:colOff>
      <xdr:row>3</xdr:row>
      <xdr:rowOff>8062</xdr:rowOff>
    </xdr:to>
    <xdr:pic>
      <xdr:nvPicPr>
        <xdr:cNvPr id="2" name="Picture 1">
          <a:extLst>
            <a:ext uri="{FF2B5EF4-FFF2-40B4-BE49-F238E27FC236}">
              <a16:creationId xmlns:a16="http://schemas.microsoft.com/office/drawing/2014/main" id="{FCECE085-9FF9-4953-9F59-1A10FFCFE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23D44A74-3BA2-49A3-95D5-EC29C7042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16C9-0766-4342-B34D-6EAF51367B17}">
  <dimension ref="A5:G44"/>
  <sheetViews>
    <sheetView tabSelected="1" zoomScale="120" zoomScaleNormal="120" workbookViewId="0">
      <selection activeCell="F1" sqref="F1"/>
    </sheetView>
  </sheetViews>
  <sheetFormatPr defaultRowHeight="15" x14ac:dyDescent="0.25"/>
  <cols>
    <col min="1" max="1" width="1.28515625" style="10" customWidth="1"/>
    <col min="2" max="2" width="29.42578125" style="102" customWidth="1"/>
    <col min="3" max="5" width="19" style="102" customWidth="1"/>
    <col min="7" max="7" width="10.7109375" bestFit="1" customWidth="1"/>
    <col min="8" max="8" width="12" bestFit="1" customWidth="1"/>
    <col min="9" max="9" width="10.28515625" customWidth="1"/>
  </cols>
  <sheetData>
    <row r="5" spans="2:7" x14ac:dyDescent="0.25">
      <c r="B5" s="18" t="s">
        <v>141</v>
      </c>
      <c r="C5" s="91"/>
      <c r="D5" s="91"/>
      <c r="E5" s="91"/>
    </row>
    <row r="6" spans="2:7" x14ac:dyDescent="0.25">
      <c r="B6" s="90" t="s">
        <v>95</v>
      </c>
      <c r="C6" s="91"/>
      <c r="D6" s="91"/>
      <c r="E6" s="91"/>
    </row>
    <row r="7" spans="2:7" x14ac:dyDescent="0.25">
      <c r="B7" s="78" t="s">
        <v>97</v>
      </c>
      <c r="C7" s="78" t="s">
        <v>92</v>
      </c>
      <c r="D7" s="78" t="s">
        <v>98</v>
      </c>
      <c r="E7" s="78" t="s">
        <v>94</v>
      </c>
    </row>
    <row r="8" spans="2:7" x14ac:dyDescent="0.25">
      <c r="B8" s="91" t="s">
        <v>1</v>
      </c>
      <c r="C8" s="92">
        <v>391000</v>
      </c>
      <c r="D8" s="92">
        <v>391000</v>
      </c>
      <c r="E8" s="92">
        <v>391000</v>
      </c>
      <c r="G8" s="3"/>
    </row>
    <row r="9" spans="2:7" x14ac:dyDescent="0.25">
      <c r="B9" s="93" t="s">
        <v>96</v>
      </c>
      <c r="C9" s="94">
        <v>0</v>
      </c>
      <c r="D9" s="94">
        <v>0.3</v>
      </c>
      <c r="E9" s="94">
        <v>3.5000000000000003E-2</v>
      </c>
    </row>
    <row r="10" spans="2:7" x14ac:dyDescent="0.25">
      <c r="B10" s="93" t="s">
        <v>99</v>
      </c>
      <c r="C10" s="94"/>
      <c r="D10" s="94">
        <v>3.7499999999999999E-2</v>
      </c>
      <c r="E10" s="94">
        <v>4.2500000000000003E-2</v>
      </c>
      <c r="G10" s="3"/>
    </row>
    <row r="11" spans="2:7" x14ac:dyDescent="0.25">
      <c r="B11" s="93" t="s">
        <v>90</v>
      </c>
      <c r="C11" s="92">
        <v>1450</v>
      </c>
      <c r="D11" s="92">
        <v>1450</v>
      </c>
      <c r="E11" s="92">
        <v>1450</v>
      </c>
      <c r="G11" s="3"/>
    </row>
    <row r="12" spans="2:7" x14ac:dyDescent="0.25">
      <c r="B12" s="93" t="s">
        <v>26</v>
      </c>
      <c r="C12" s="95">
        <v>3.5000000000000003E-2</v>
      </c>
      <c r="D12" s="95">
        <v>3.5000000000000003E-2</v>
      </c>
      <c r="E12" s="95">
        <v>3.5000000000000003E-2</v>
      </c>
    </row>
    <row r="13" spans="2:7" x14ac:dyDescent="0.25">
      <c r="B13" s="96" t="s">
        <v>103</v>
      </c>
      <c r="C13" s="97">
        <v>15</v>
      </c>
      <c r="D13" s="97">
        <v>15</v>
      </c>
      <c r="E13" s="97">
        <v>15</v>
      </c>
    </row>
    <row r="14" spans="2:7" ht="14.25" customHeight="1" x14ac:dyDescent="0.25">
      <c r="B14" s="106" t="s">
        <v>112</v>
      </c>
      <c r="C14" s="106"/>
      <c r="D14" s="106"/>
      <c r="E14" s="106"/>
    </row>
    <row r="15" spans="2:7" x14ac:dyDescent="0.25">
      <c r="B15" s="91"/>
      <c r="C15" s="91"/>
      <c r="D15" s="91"/>
      <c r="E15" s="91"/>
    </row>
    <row r="16" spans="2:7" x14ac:dyDescent="0.25">
      <c r="B16" s="90" t="s">
        <v>0</v>
      </c>
      <c r="C16" s="91"/>
      <c r="D16" s="91"/>
      <c r="E16" s="91"/>
    </row>
    <row r="17" spans="2:5" x14ac:dyDescent="0.25">
      <c r="B17" s="78" t="s">
        <v>97</v>
      </c>
      <c r="C17" s="78" t="s">
        <v>92</v>
      </c>
      <c r="D17" s="78" t="s">
        <v>93</v>
      </c>
      <c r="E17" s="78" t="s">
        <v>94</v>
      </c>
    </row>
    <row r="18" spans="2:5" x14ac:dyDescent="0.25">
      <c r="B18" s="91" t="s">
        <v>89</v>
      </c>
      <c r="C18" s="92">
        <f>'All Cash'!$D$25</f>
        <v>34800</v>
      </c>
      <c r="D18" s="92">
        <f>'With Loan'!I25</f>
        <v>34800</v>
      </c>
      <c r="E18" s="92">
        <f>'Owner Occupier'!D25</f>
        <v>17400</v>
      </c>
    </row>
    <row r="19" spans="2:5" x14ac:dyDescent="0.25">
      <c r="B19" s="98" t="s">
        <v>91</v>
      </c>
      <c r="C19" s="99">
        <f>'All Cash'!$D$26</f>
        <v>396000.00000000006</v>
      </c>
      <c r="D19" s="99">
        <f>'With Loan'!D38</f>
        <v>128890.42470170549</v>
      </c>
      <c r="E19" s="99">
        <f>'Owner Occupier'!D38</f>
        <v>25275.42470170548</v>
      </c>
    </row>
    <row r="20" spans="2:5" x14ac:dyDescent="0.25">
      <c r="B20" s="91" t="s">
        <v>28</v>
      </c>
      <c r="C20" s="92">
        <f>'All Cash'!$H$37</f>
        <v>306168.39461000002</v>
      </c>
      <c r="D20" s="92">
        <f>'With Loan'!$H$38</f>
        <v>78009.867266075511</v>
      </c>
      <c r="E20" s="92"/>
    </row>
    <row r="21" spans="2:5" x14ac:dyDescent="0.25">
      <c r="B21" s="91" t="s">
        <v>137</v>
      </c>
      <c r="C21" s="92"/>
      <c r="D21" s="92">
        <f>'With Loan'!$H$35</f>
        <v>99400.184733209288</v>
      </c>
      <c r="E21" s="92">
        <f>'Owner Occupier'!$H$34</f>
        <v>62836.549577936312</v>
      </c>
    </row>
    <row r="22" spans="2:5" x14ac:dyDescent="0.25">
      <c r="B22" s="91" t="s">
        <v>136</v>
      </c>
      <c r="C22" s="92">
        <f>'All Cash'!$H$33</f>
        <v>264061.39282409428</v>
      </c>
      <c r="D22" s="92">
        <f>'With Loan'!$H$33</f>
        <v>264061.39282409428</v>
      </c>
      <c r="E22" s="92">
        <f>'Owner Occupier'!$H$32</f>
        <v>264061.39282409428</v>
      </c>
    </row>
    <row r="23" spans="2:5" x14ac:dyDescent="0.25">
      <c r="B23" s="98" t="s">
        <v>105</v>
      </c>
      <c r="C23" s="99">
        <f>'All Cash'!$D$29</f>
        <v>524375.48993640777</v>
      </c>
      <c r="D23" s="99">
        <f>'With Loan'!H39</f>
        <v>395617.14732569247</v>
      </c>
      <c r="E23" s="99">
        <f>'Owner Occupier'!D31</f>
        <v>281043.64490434399</v>
      </c>
    </row>
    <row r="24" spans="2:5" x14ac:dyDescent="0.25">
      <c r="B24" s="90" t="s">
        <v>135</v>
      </c>
      <c r="C24" s="104">
        <f>'All Cash'!$D$30</f>
        <v>8.8278702009496238E-2</v>
      </c>
      <c r="D24" s="104">
        <f>'With Loan'!H43</f>
        <v>0.20462712066795222</v>
      </c>
      <c r="E24" s="104">
        <f>'Owner Occupier'!H38</f>
        <v>0.7412830136285975</v>
      </c>
    </row>
    <row r="25" spans="2:5" x14ac:dyDescent="0.25">
      <c r="B25" s="91" t="s">
        <v>100</v>
      </c>
      <c r="C25" s="104">
        <f>'All Cash'!$D$32</f>
        <v>5.2202624826939471E-2</v>
      </c>
      <c r="D25" s="104"/>
      <c r="E25" s="104"/>
    </row>
    <row r="26" spans="2:5" x14ac:dyDescent="0.25">
      <c r="B26" s="91" t="s">
        <v>101</v>
      </c>
      <c r="C26" s="94"/>
      <c r="D26" s="104">
        <f>'With Loan'!H41</f>
        <v>4.0349450548979003E-2</v>
      </c>
      <c r="E26" s="94"/>
    </row>
    <row r="27" spans="2:5" x14ac:dyDescent="0.25">
      <c r="B27" s="91" t="s">
        <v>102</v>
      </c>
      <c r="C27" s="94"/>
      <c r="D27" s="104">
        <f>D26+D12</f>
        <v>7.5349450548979013E-2</v>
      </c>
      <c r="E27" s="94"/>
    </row>
    <row r="28" spans="2:5" x14ac:dyDescent="0.25">
      <c r="B28" s="91" t="s">
        <v>104</v>
      </c>
      <c r="C28" s="92"/>
      <c r="D28" s="92"/>
      <c r="E28" s="105">
        <f>-1*'Owner Occupier'!H26</f>
        <v>1472.1669883043314</v>
      </c>
    </row>
    <row r="29" spans="2:5" x14ac:dyDescent="0.25">
      <c r="B29" s="98" t="s">
        <v>122</v>
      </c>
      <c r="C29" s="101">
        <f>'All Cash'!H43</f>
        <v>7.709766024279352E-2</v>
      </c>
      <c r="D29" s="101">
        <f>'With Loan'!H44</f>
        <v>0.10958601280273839</v>
      </c>
      <c r="E29" s="101"/>
    </row>
    <row r="30" spans="2:5" x14ac:dyDescent="0.25">
      <c r="B30" s="91"/>
      <c r="C30" s="92"/>
      <c r="D30" s="92"/>
      <c r="E30" s="92"/>
    </row>
    <row r="31" spans="2:5" x14ac:dyDescent="0.25">
      <c r="B31" s="90" t="s">
        <v>111</v>
      </c>
      <c r="C31" s="91"/>
      <c r="D31" s="115" t="s">
        <v>142</v>
      </c>
      <c r="E31" s="115" t="s">
        <v>142</v>
      </c>
    </row>
    <row r="32" spans="2:5" x14ac:dyDescent="0.25">
      <c r="B32" s="78" t="s">
        <v>97</v>
      </c>
      <c r="C32" s="78" t="s">
        <v>140</v>
      </c>
      <c r="D32" s="78" t="s">
        <v>106</v>
      </c>
      <c r="E32" s="78" t="s">
        <v>107</v>
      </c>
    </row>
    <row r="33" spans="2:5" x14ac:dyDescent="0.25">
      <c r="B33" s="91" t="s">
        <v>84</v>
      </c>
      <c r="C33" s="92">
        <f>C8</f>
        <v>391000</v>
      </c>
      <c r="D33" s="92">
        <v>475000</v>
      </c>
      <c r="E33" s="92">
        <v>565000</v>
      </c>
    </row>
    <row r="34" spans="2:5" x14ac:dyDescent="0.25">
      <c r="B34" s="91" t="s">
        <v>109</v>
      </c>
      <c r="C34" s="92">
        <f>C11</f>
        <v>1450</v>
      </c>
      <c r="D34" s="92">
        <v>1450</v>
      </c>
      <c r="E34" s="92">
        <v>1725</v>
      </c>
    </row>
    <row r="35" spans="2:5" x14ac:dyDescent="0.25">
      <c r="B35" s="91" t="s">
        <v>108</v>
      </c>
      <c r="C35" s="92">
        <f>C34*2</f>
        <v>2900</v>
      </c>
      <c r="D35" s="92">
        <f>D34*2</f>
        <v>2900</v>
      </c>
      <c r="E35" s="92">
        <f>E34*2</f>
        <v>3450</v>
      </c>
    </row>
    <row r="36" spans="2:5" x14ac:dyDescent="0.25">
      <c r="B36" s="100" t="s">
        <v>110</v>
      </c>
      <c r="C36" s="101">
        <f>C35/C33</f>
        <v>7.4168797953964192E-3</v>
      </c>
      <c r="D36" s="101">
        <f>D35/D33</f>
        <v>6.1052631578947369E-3</v>
      </c>
      <c r="E36" s="101">
        <f>E35/E33</f>
        <v>6.1061946902654868E-3</v>
      </c>
    </row>
    <row r="37" spans="2:5" ht="15" customHeight="1" x14ac:dyDescent="0.25">
      <c r="B37" s="107" t="s">
        <v>138</v>
      </c>
      <c r="C37" s="107"/>
      <c r="D37" s="107"/>
      <c r="E37" s="107"/>
    </row>
    <row r="38" spans="2:5" x14ac:dyDescent="0.25">
      <c r="B38" s="108"/>
      <c r="C38" s="108"/>
      <c r="D38" s="108"/>
      <c r="E38" s="108"/>
    </row>
    <row r="43" spans="2:5" x14ac:dyDescent="0.25">
      <c r="E43" s="103"/>
    </row>
    <row r="44" spans="2:5" x14ac:dyDescent="0.25">
      <c r="B44" s="109" t="s">
        <v>71</v>
      </c>
      <c r="C44" s="109"/>
      <c r="D44" s="109"/>
      <c r="E44" s="109"/>
    </row>
  </sheetData>
  <mergeCells count="3">
    <mergeCell ref="B14:E14"/>
    <mergeCell ref="B37:E38"/>
    <mergeCell ref="B44:E4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BC52-B97A-49E2-8435-53CAD6E7E736}">
  <sheetPr>
    <pageSetUpPr fitToPage="1"/>
  </sheetPr>
  <dimension ref="A1:AA70"/>
  <sheetViews>
    <sheetView topLeftCell="B20" zoomScale="85" zoomScaleNormal="85" workbookViewId="0">
      <selection activeCell="H27" sqref="H27"/>
    </sheetView>
  </sheetViews>
  <sheetFormatPr defaultRowHeight="15" outlineLevelCol="1" x14ac:dyDescent="0.25"/>
  <cols>
    <col min="1" max="1" width="2.85546875" customWidth="1"/>
    <col min="2" max="2" width="43.85546875" customWidth="1"/>
    <col min="3" max="3" width="9" customWidth="1"/>
    <col min="4" max="4" width="12.7109375" style="8" customWidth="1"/>
    <col min="5" max="5" width="13.140625" style="9" customWidth="1"/>
    <col min="6" max="6" width="5.28515625" customWidth="1"/>
    <col min="7" max="7" width="47.5703125" bestFit="1" customWidth="1"/>
    <col min="8" max="8" width="14.140625" bestFit="1" customWidth="1"/>
    <col min="9" max="9" width="13.140625" customWidth="1"/>
    <col min="10" max="10" width="13.42578125" bestFit="1" customWidth="1"/>
    <col min="12" max="12" width="9" style="30" customWidth="1"/>
    <col min="13" max="13" width="9.28515625" style="30" hidden="1" customWidth="1" outlineLevel="1"/>
    <col min="14" max="14" width="20.28515625" style="30" hidden="1" customWidth="1" outlineLevel="1"/>
    <col min="15" max="15" width="20.85546875" style="30" hidden="1" customWidth="1" outlineLevel="1"/>
    <col min="16" max="16" width="26.28515625" style="30" hidden="1" customWidth="1" outlineLevel="1"/>
    <col min="17" max="17" width="19.28515625" style="30" hidden="1" customWidth="1" outlineLevel="1"/>
    <col min="18" max="18" width="9.5703125" style="30" hidden="1" customWidth="1" outlineLevel="1"/>
    <col min="19" max="19" width="12.7109375" style="30" hidden="1" customWidth="1" outlineLevel="1"/>
    <col min="20" max="20" width="12.5703125" style="30" hidden="1" customWidth="1" outlineLevel="1"/>
    <col min="21" max="21" width="17.5703125" style="30" hidden="1" customWidth="1" outlineLevel="1"/>
    <col min="22" max="22" width="16.42578125" style="30" hidden="1" customWidth="1" outlineLevel="1"/>
    <col min="23" max="23" width="24.140625" style="30" hidden="1" customWidth="1" outlineLevel="1"/>
    <col min="24" max="24" width="13.5703125" style="30" hidden="1" customWidth="1" outlineLevel="1"/>
    <col min="25" max="25" width="12.42578125" style="30" hidden="1" customWidth="1" outlineLevel="1"/>
    <col min="26" max="26" width="20.5703125" hidden="1" customWidth="1" outlineLevel="1"/>
    <col min="27" max="27" width="9.140625" collapsed="1"/>
  </cols>
  <sheetData>
    <row r="1" spans="1:26" x14ac:dyDescent="0.25">
      <c r="A1" s="10"/>
      <c r="B1" s="112"/>
      <c r="C1" s="112"/>
      <c r="D1" s="112"/>
      <c r="E1" s="112"/>
      <c r="F1" s="112"/>
      <c r="G1" s="112"/>
      <c r="H1" s="112"/>
      <c r="I1" s="112"/>
    </row>
    <row r="2" spans="1:26" x14ac:dyDescent="0.25">
      <c r="A2" s="10"/>
      <c r="B2" s="112"/>
      <c r="C2" s="112"/>
      <c r="D2" s="112"/>
      <c r="E2" s="112"/>
      <c r="F2" s="112"/>
      <c r="G2" s="112"/>
      <c r="H2" s="112"/>
      <c r="I2" s="112"/>
    </row>
    <row r="3" spans="1:26" ht="23.25" customHeight="1" x14ac:dyDescent="0.25">
      <c r="A3" s="10"/>
      <c r="B3" s="112"/>
      <c r="C3" s="112"/>
      <c r="D3" s="112"/>
      <c r="E3" s="112"/>
      <c r="F3" s="112"/>
      <c r="G3" s="112"/>
      <c r="H3" s="112"/>
      <c r="I3" s="112"/>
    </row>
    <row r="4" spans="1:26" ht="22.5" x14ac:dyDescent="0.3">
      <c r="A4" s="10"/>
      <c r="B4" s="113" t="s">
        <v>72</v>
      </c>
      <c r="C4" s="113"/>
      <c r="D4" s="113"/>
      <c r="E4" s="113"/>
      <c r="F4" s="113"/>
      <c r="G4" s="113"/>
      <c r="H4" s="113"/>
      <c r="I4" s="113"/>
    </row>
    <row r="5" spans="1:26"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120</v>
      </c>
      <c r="Z5" s="33" t="s">
        <v>121</v>
      </c>
    </row>
    <row r="6" spans="1:26" ht="14.25" customHeight="1" x14ac:dyDescent="0.25">
      <c r="A6" s="10"/>
      <c r="B6" s="43"/>
      <c r="C6" s="43"/>
      <c r="D6" s="44"/>
      <c r="E6" s="45"/>
      <c r="F6" s="43"/>
      <c r="G6" s="43"/>
      <c r="H6" s="43"/>
      <c r="I6" s="43"/>
      <c r="M6" s="30">
        <v>0</v>
      </c>
      <c r="X6" s="34">
        <f>-$D$38</f>
        <v>-396000.00000000006</v>
      </c>
      <c r="Z6" s="70">
        <f t="shared" ref="Z6:Z36" si="0">IF($H$32&gt;=M6,SUM(X6:Y6),0)</f>
        <v>-396000.00000000006</v>
      </c>
    </row>
    <row r="7" spans="1:26" ht="14.25" customHeight="1" x14ac:dyDescent="0.25">
      <c r="A7" s="10"/>
      <c r="B7" s="43"/>
      <c r="C7" s="43"/>
      <c r="D7" s="44"/>
      <c r="E7" s="45"/>
      <c r="F7" s="43"/>
      <c r="G7" s="43"/>
      <c r="H7" s="43"/>
      <c r="I7" s="43"/>
      <c r="M7" s="30">
        <v>1</v>
      </c>
      <c r="N7" s="34">
        <f t="shared" ref="N7:N36" si="1">W7+T7+U7-V7</f>
        <v>5768.2763073332753</v>
      </c>
      <c r="O7" s="35">
        <f t="shared" ref="O7:O36" si="2">N7/P7/M7</f>
        <v>1.4566354311447663E-2</v>
      </c>
      <c r="P7" s="36">
        <f>'All Cash'!$D$38</f>
        <v>396000.00000000006</v>
      </c>
      <c r="Q7" s="37">
        <f>'All Cash'!$H$31</f>
        <v>3.5000000000000003E-2</v>
      </c>
      <c r="R7" s="38">
        <f>'All Cash'!$D$24</f>
        <v>391000</v>
      </c>
      <c r="S7" s="38">
        <v>0</v>
      </c>
      <c r="T7" s="39">
        <f t="shared" ref="T7:T36" si="3">$R$7*(1+Q7)^M7-$R$7</f>
        <v>13684.999999999942</v>
      </c>
      <c r="U7" s="39">
        <v>0</v>
      </c>
      <c r="V7" s="39">
        <f>(R7+T7)*'All Cash'!$H$35</f>
        <v>28327.949999999997</v>
      </c>
      <c r="W7" s="36">
        <f>'All Cash'!$I$27*'All Cash'!$M7</f>
        <v>20411.226307333334</v>
      </c>
      <c r="X7" s="34">
        <f t="shared" ref="X7:X36" si="4">$I$28</f>
        <v>22499.226307333334</v>
      </c>
      <c r="Y7" s="80">
        <f t="shared" ref="Y7:Y36" si="5">IF($H$32=$M7,R7+T7-V7,0)</f>
        <v>0</v>
      </c>
      <c r="Z7" s="70">
        <f t="shared" si="0"/>
        <v>22499.226307333334</v>
      </c>
    </row>
    <row r="8" spans="1:26" ht="14.25" customHeight="1" x14ac:dyDescent="0.25">
      <c r="A8" s="10"/>
      <c r="B8" s="43"/>
      <c r="C8" s="43"/>
      <c r="D8" s="44"/>
      <c r="E8" s="45"/>
      <c r="F8" s="43"/>
      <c r="G8" s="43"/>
      <c r="H8" s="43"/>
      <c r="I8" s="43"/>
      <c r="M8" s="30">
        <v>2</v>
      </c>
      <c r="N8" s="34">
        <f t="shared" si="1"/>
        <v>39351.999364666641</v>
      </c>
      <c r="O8" s="35">
        <f t="shared" si="2"/>
        <v>4.9686867884680096E-2</v>
      </c>
      <c r="P8" s="36">
        <f>'All Cash'!$D$38</f>
        <v>396000.00000000006</v>
      </c>
      <c r="Q8" s="37">
        <f>'All Cash'!$H$31</f>
        <v>3.5000000000000003E-2</v>
      </c>
      <c r="R8" s="38">
        <f>'All Cash'!$D$24</f>
        <v>391000</v>
      </c>
      <c r="S8" s="38">
        <v>0</v>
      </c>
      <c r="T8" s="39">
        <f t="shared" si="3"/>
        <v>27848.974999999977</v>
      </c>
      <c r="U8" s="39">
        <v>0</v>
      </c>
      <c r="V8" s="39">
        <f>(R8+T8)*'All Cash'!$H$35</f>
        <v>29319.428250000001</v>
      </c>
      <c r="W8" s="36">
        <f>'All Cash'!$I$27*'All Cash'!$M8</f>
        <v>40822.452614666669</v>
      </c>
      <c r="X8" s="34">
        <f t="shared" si="4"/>
        <v>22499.226307333334</v>
      </c>
      <c r="Y8" s="80">
        <f t="shared" si="5"/>
        <v>0</v>
      </c>
      <c r="Z8" s="70">
        <f t="shared" si="0"/>
        <v>22499.226307333334</v>
      </c>
    </row>
    <row r="9" spans="1:26" ht="14.25" customHeight="1" x14ac:dyDescent="0.25">
      <c r="A9" s="10"/>
      <c r="B9" s="43"/>
      <c r="C9" s="43"/>
      <c r="D9" s="44"/>
      <c r="E9" s="45"/>
      <c r="F9" s="43"/>
      <c r="G9" s="43"/>
      <c r="H9" s="43"/>
      <c r="I9" s="43"/>
      <c r="M9" s="30">
        <v>3</v>
      </c>
      <c r="N9" s="34">
        <f t="shared" si="1"/>
        <v>73396.759808249932</v>
      </c>
      <c r="O9" s="35">
        <f t="shared" si="2"/>
        <v>6.1781784350378725E-2</v>
      </c>
      <c r="P9" s="36">
        <f>'All Cash'!$D$38</f>
        <v>396000.00000000006</v>
      </c>
      <c r="Q9" s="37">
        <f>'All Cash'!$H$31</f>
        <v>3.5000000000000003E-2</v>
      </c>
      <c r="R9" s="38">
        <f>'All Cash'!$D$24</f>
        <v>391000</v>
      </c>
      <c r="S9" s="38">
        <v>0</v>
      </c>
      <c r="T9" s="39">
        <f t="shared" si="3"/>
        <v>42508.689124999917</v>
      </c>
      <c r="U9" s="39">
        <v>0</v>
      </c>
      <c r="V9" s="39">
        <f>(R9+T9)*'All Cash'!$H$35</f>
        <v>30345.608238749996</v>
      </c>
      <c r="W9" s="36">
        <f>'All Cash'!$I$27*'All Cash'!$M9</f>
        <v>61233.678922000006</v>
      </c>
      <c r="X9" s="34">
        <f t="shared" si="4"/>
        <v>22499.226307333334</v>
      </c>
      <c r="Y9" s="80">
        <f t="shared" si="5"/>
        <v>0</v>
      </c>
      <c r="Z9" s="70">
        <f t="shared" si="0"/>
        <v>22499.226307333334</v>
      </c>
    </row>
    <row r="10" spans="1:26" ht="14.25" customHeight="1" x14ac:dyDescent="0.25">
      <c r="A10" s="10"/>
      <c r="B10" s="43"/>
      <c r="C10" s="43"/>
      <c r="D10" s="44"/>
      <c r="E10" s="45"/>
      <c r="F10" s="43"/>
      <c r="G10" s="43"/>
      <c r="H10" s="43"/>
      <c r="I10" s="43"/>
      <c r="M10" s="30">
        <v>4</v>
      </c>
      <c r="N10" s="34">
        <f t="shared" si="1"/>
        <v>107918.69394660194</v>
      </c>
      <c r="O10" s="35">
        <f t="shared" si="2"/>
        <v>6.8130488602652736E-2</v>
      </c>
      <c r="P10" s="36">
        <f>'All Cash'!$D$38</f>
        <v>396000.00000000006</v>
      </c>
      <c r="Q10" s="37">
        <f>'All Cash'!$H$31</f>
        <v>3.5000000000000003E-2</v>
      </c>
      <c r="R10" s="38">
        <f>'All Cash'!$D$24</f>
        <v>391000</v>
      </c>
      <c r="S10" s="38">
        <v>0</v>
      </c>
      <c r="T10" s="39">
        <f t="shared" si="3"/>
        <v>57681.493244374869</v>
      </c>
      <c r="U10" s="39">
        <v>0</v>
      </c>
      <c r="V10" s="39">
        <f>(R10+T10)*'All Cash'!$H$35</f>
        <v>31407.704527106245</v>
      </c>
      <c r="W10" s="36">
        <f>'All Cash'!$I$27*'All Cash'!$M10</f>
        <v>81644.905229333337</v>
      </c>
      <c r="X10" s="34">
        <f t="shared" si="4"/>
        <v>22499.226307333334</v>
      </c>
      <c r="Y10" s="80">
        <f t="shared" si="5"/>
        <v>0</v>
      </c>
      <c r="Z10" s="70">
        <f t="shared" si="0"/>
        <v>22499.226307333334</v>
      </c>
    </row>
    <row r="11" spans="1:26" ht="14.25" customHeight="1" x14ac:dyDescent="0.25">
      <c r="A11" s="10"/>
      <c r="B11" s="43"/>
      <c r="C11" s="43"/>
      <c r="D11" s="44"/>
      <c r="E11" s="45"/>
      <c r="F11" s="43"/>
      <c r="G11" s="43"/>
      <c r="H11" s="43"/>
      <c r="I11" s="43"/>
      <c r="M11" s="30">
        <v>5</v>
      </c>
      <c r="N11" s="34">
        <f t="shared" si="1"/>
        <v>142934.50285903964</v>
      </c>
      <c r="O11" s="35">
        <f t="shared" si="2"/>
        <v>7.2189142858100824E-2</v>
      </c>
      <c r="P11" s="36">
        <f>'All Cash'!$D$38</f>
        <v>396000.00000000006</v>
      </c>
      <c r="Q11" s="37">
        <f>'All Cash'!$H$31</f>
        <v>3.5000000000000003E-2</v>
      </c>
      <c r="R11" s="38">
        <f>'All Cash'!$D$24</f>
        <v>391000</v>
      </c>
      <c r="S11" s="38">
        <v>0</v>
      </c>
      <c r="T11" s="39">
        <f t="shared" si="3"/>
        <v>73385.345507927937</v>
      </c>
      <c r="U11" s="39">
        <v>0</v>
      </c>
      <c r="V11" s="39">
        <f>(R11+T11)*'All Cash'!$H$35</f>
        <v>32506.974185554958</v>
      </c>
      <c r="W11" s="36">
        <f>'All Cash'!$I$27*'All Cash'!$M11</f>
        <v>102056.13153666667</v>
      </c>
      <c r="X11" s="34">
        <f t="shared" si="4"/>
        <v>22499.226307333334</v>
      </c>
      <c r="Y11" s="80">
        <f t="shared" si="5"/>
        <v>0</v>
      </c>
      <c r="Z11" s="70">
        <f t="shared" si="0"/>
        <v>22499.226307333334</v>
      </c>
    </row>
    <row r="12" spans="1:26" ht="14.25" customHeight="1" x14ac:dyDescent="0.25">
      <c r="A12" s="10"/>
      <c r="B12" s="43"/>
      <c r="C12" s="43"/>
      <c r="D12" s="44"/>
      <c r="E12" s="45"/>
      <c r="F12" s="43"/>
      <c r="G12" s="43"/>
      <c r="H12" s="43"/>
      <c r="I12" s="43"/>
      <c r="M12" s="30">
        <v>6</v>
      </c>
      <c r="N12" s="34">
        <f t="shared" si="1"/>
        <v>178461.47216265608</v>
      </c>
      <c r="O12" s="35">
        <f t="shared" si="2"/>
        <v>7.5110047206505076E-2</v>
      </c>
      <c r="P12" s="36">
        <f>'All Cash'!$D$38</f>
        <v>396000.00000000006</v>
      </c>
      <c r="Q12" s="37">
        <f>'All Cash'!$H$31</f>
        <v>3.5000000000000003E-2</v>
      </c>
      <c r="R12" s="38">
        <f>'All Cash'!$D$24</f>
        <v>391000</v>
      </c>
      <c r="S12" s="38">
        <v>0</v>
      </c>
      <c r="T12" s="39">
        <f t="shared" si="3"/>
        <v>89638.832600705442</v>
      </c>
      <c r="U12" s="39">
        <v>0</v>
      </c>
      <c r="V12" s="39">
        <f>(R12+T12)*'All Cash'!$H$35</f>
        <v>33644.718282049384</v>
      </c>
      <c r="W12" s="36">
        <f>'All Cash'!$I$27*'All Cash'!$M12</f>
        <v>122467.35784400001</v>
      </c>
      <c r="X12" s="34">
        <f t="shared" si="4"/>
        <v>22499.226307333334</v>
      </c>
      <c r="Y12" s="80">
        <f t="shared" si="5"/>
        <v>0</v>
      </c>
      <c r="Z12" s="70">
        <f t="shared" si="0"/>
        <v>22499.226307333334</v>
      </c>
    </row>
    <row r="13" spans="1:26" ht="14.25" customHeight="1" x14ac:dyDescent="0.25">
      <c r="A13" s="10"/>
      <c r="B13" s="43"/>
      <c r="C13" s="43"/>
      <c r="D13" s="44"/>
      <c r="E13" s="45"/>
      <c r="F13" s="43"/>
      <c r="G13" s="43"/>
      <c r="H13" s="43"/>
      <c r="I13" s="43"/>
      <c r="M13" s="30">
        <v>7</v>
      </c>
      <c r="N13" s="34">
        <f t="shared" si="1"/>
        <v>214517.49247114232</v>
      </c>
      <c r="O13" s="35">
        <f t="shared" si="2"/>
        <v>7.7387262796227388E-2</v>
      </c>
      <c r="P13" s="36">
        <f>'All Cash'!$D$38</f>
        <v>396000.00000000006</v>
      </c>
      <c r="Q13" s="37">
        <f>'All Cash'!$H$31</f>
        <v>3.5000000000000003E-2</v>
      </c>
      <c r="R13" s="38">
        <f>'All Cash'!$D$24</f>
        <v>391000</v>
      </c>
      <c r="S13" s="38">
        <v>0</v>
      </c>
      <c r="T13" s="39">
        <f t="shared" si="3"/>
        <v>106461.19174173009</v>
      </c>
      <c r="U13" s="39">
        <v>0</v>
      </c>
      <c r="V13" s="39">
        <f>(R13+T13)*'All Cash'!$H$35</f>
        <v>34822.283421921107</v>
      </c>
      <c r="W13" s="36">
        <f>'All Cash'!$I$27*'All Cash'!$M13</f>
        <v>142878.58415133334</v>
      </c>
      <c r="X13" s="34">
        <f t="shared" si="4"/>
        <v>22499.226307333334</v>
      </c>
      <c r="Y13" s="80">
        <f t="shared" si="5"/>
        <v>0</v>
      </c>
      <c r="Z13" s="70">
        <f t="shared" si="0"/>
        <v>22499.226307333334</v>
      </c>
    </row>
    <row r="14" spans="1:26" ht="14.25" customHeight="1" x14ac:dyDescent="0.25">
      <c r="A14" s="10"/>
      <c r="B14" s="43"/>
      <c r="C14" s="43"/>
      <c r="D14" s="44"/>
      <c r="E14" s="45"/>
      <c r="F14" s="43"/>
      <c r="G14" s="43"/>
      <c r="H14" s="43"/>
      <c r="I14" s="43"/>
      <c r="M14" s="30">
        <v>8</v>
      </c>
      <c r="N14" s="34">
        <f t="shared" si="1"/>
        <v>251121.08056966882</v>
      </c>
      <c r="O14" s="35">
        <f t="shared" si="2"/>
        <v>7.9268017856587367E-2</v>
      </c>
      <c r="P14" s="36">
        <f>'All Cash'!$D$38</f>
        <v>396000.00000000006</v>
      </c>
      <c r="Q14" s="37">
        <f>'All Cash'!$H$31</f>
        <v>3.5000000000000003E-2</v>
      </c>
      <c r="R14" s="38">
        <f>'All Cash'!$D$24</f>
        <v>391000</v>
      </c>
      <c r="S14" s="38">
        <v>0</v>
      </c>
      <c r="T14" s="39">
        <f t="shared" si="3"/>
        <v>123872.33345269051</v>
      </c>
      <c r="U14" s="39">
        <v>0</v>
      </c>
      <c r="V14" s="39">
        <f>(R14+T14)*'All Cash'!$H$35</f>
        <v>36041.063341688336</v>
      </c>
      <c r="W14" s="36">
        <f>'All Cash'!$I$27*'All Cash'!$M14</f>
        <v>163289.81045866667</v>
      </c>
      <c r="X14" s="34">
        <f t="shared" si="4"/>
        <v>22499.226307333334</v>
      </c>
      <c r="Y14" s="80">
        <f t="shared" si="5"/>
        <v>0</v>
      </c>
      <c r="Z14" s="70">
        <f t="shared" si="0"/>
        <v>22499.226307333334</v>
      </c>
    </row>
    <row r="15" spans="1:26" ht="14.25" customHeight="1" x14ac:dyDescent="0.25">
      <c r="A15" s="10"/>
      <c r="B15" s="43"/>
      <c r="C15" s="43"/>
      <c r="D15" s="44"/>
      <c r="E15" s="45"/>
      <c r="F15" s="43"/>
      <c r="G15" s="43"/>
      <c r="H15" s="43"/>
      <c r="I15" s="43"/>
      <c r="M15" s="30">
        <v>9</v>
      </c>
      <c r="N15" s="34">
        <f t="shared" si="1"/>
        <v>288291.40133088711</v>
      </c>
      <c r="O15" s="35">
        <f t="shared" si="2"/>
        <v>8.0889843246601312E-2</v>
      </c>
      <c r="P15" s="36">
        <f>'All Cash'!$D$38</f>
        <v>396000.00000000006</v>
      </c>
      <c r="Q15" s="37">
        <f>'All Cash'!$H$31</f>
        <v>3.5000000000000003E-2</v>
      </c>
      <c r="R15" s="38">
        <f>'All Cash'!$D$24</f>
        <v>391000</v>
      </c>
      <c r="S15" s="38">
        <v>0</v>
      </c>
      <c r="T15" s="39">
        <f t="shared" si="3"/>
        <v>141892.86512353458</v>
      </c>
      <c r="U15" s="39">
        <v>0</v>
      </c>
      <c r="V15" s="39">
        <f>(R15+T15)*'All Cash'!$H$35</f>
        <v>37302.500558647422</v>
      </c>
      <c r="W15" s="36">
        <f>'All Cash'!$I$27*'All Cash'!$M15</f>
        <v>183701.036766</v>
      </c>
      <c r="X15" s="34">
        <f t="shared" si="4"/>
        <v>22499.226307333334</v>
      </c>
      <c r="Y15" s="80">
        <f t="shared" si="5"/>
        <v>0</v>
      </c>
      <c r="Z15" s="70">
        <f t="shared" si="0"/>
        <v>22499.226307333334</v>
      </c>
    </row>
    <row r="16" spans="1:26" ht="14.25" customHeight="1" x14ac:dyDescent="0.25">
      <c r="A16" s="10"/>
      <c r="B16" s="43"/>
      <c r="C16" s="43"/>
      <c r="D16" s="44"/>
      <c r="E16" s="45"/>
      <c r="F16" s="43"/>
      <c r="G16" s="43"/>
      <c r="H16" s="43"/>
      <c r="I16" s="43"/>
      <c r="M16" s="30">
        <v>10</v>
      </c>
      <c r="N16" s="34">
        <f t="shared" si="1"/>
        <v>326048.29039799154</v>
      </c>
      <c r="O16" s="35">
        <f t="shared" si="2"/>
        <v>8.233542686817967E-2</v>
      </c>
      <c r="P16" s="36">
        <f>'All Cash'!$D$38</f>
        <v>396000.00000000006</v>
      </c>
      <c r="Q16" s="37">
        <f>'All Cash'!$H$31</f>
        <v>3.5000000000000003E-2</v>
      </c>
      <c r="R16" s="38">
        <f>'All Cash'!$D$24</f>
        <v>391000</v>
      </c>
      <c r="S16" s="38">
        <v>0</v>
      </c>
      <c r="T16" s="39">
        <f t="shared" si="3"/>
        <v>160544.11540285836</v>
      </c>
      <c r="U16" s="39">
        <v>0</v>
      </c>
      <c r="V16" s="39">
        <f>(R16+T16)*'All Cash'!$H$35</f>
        <v>38608.08807820009</v>
      </c>
      <c r="W16" s="36">
        <f>'All Cash'!$I$27*'All Cash'!$M16</f>
        <v>204112.26307333334</v>
      </c>
      <c r="X16" s="34">
        <f t="shared" si="4"/>
        <v>22499.226307333334</v>
      </c>
      <c r="Y16" s="80">
        <f t="shared" si="5"/>
        <v>0</v>
      </c>
      <c r="Z16" s="70">
        <f t="shared" si="0"/>
        <v>22499.226307333334</v>
      </c>
    </row>
    <row r="17" spans="1:26" ht="14.25" customHeight="1" x14ac:dyDescent="0.25">
      <c r="A17" s="10"/>
      <c r="B17" s="43"/>
      <c r="C17" s="43"/>
      <c r="D17" s="44"/>
      <c r="E17" s="45"/>
      <c r="F17" s="43"/>
      <c r="G17" s="43"/>
      <c r="H17" s="43"/>
      <c r="I17" s="43"/>
      <c r="M17" s="30">
        <v>11</v>
      </c>
      <c r="N17" s="34">
        <f t="shared" si="1"/>
        <v>364412.27766168793</v>
      </c>
      <c r="O17" s="35">
        <f t="shared" si="2"/>
        <v>8.3657547672563781E-2</v>
      </c>
      <c r="P17" s="36">
        <f>'All Cash'!$D$38</f>
        <v>396000.00000000006</v>
      </c>
      <c r="Q17" s="37">
        <f>'All Cash'!$H$31</f>
        <v>3.5000000000000003E-2</v>
      </c>
      <c r="R17" s="38">
        <f>'All Cash'!$D$24</f>
        <v>391000</v>
      </c>
      <c r="S17" s="38">
        <v>0</v>
      </c>
      <c r="T17" s="39">
        <f t="shared" si="3"/>
        <v>179848.15944195841</v>
      </c>
      <c r="U17" s="39">
        <v>0</v>
      </c>
      <c r="V17" s="39">
        <f>(R17+T17)*'All Cash'!$H$35</f>
        <v>39959.371160937095</v>
      </c>
      <c r="W17" s="36">
        <f>'All Cash'!$I$27*'All Cash'!$M17</f>
        <v>224523.48938066667</v>
      </c>
      <c r="X17" s="34">
        <f t="shared" si="4"/>
        <v>22499.226307333334</v>
      </c>
      <c r="Y17" s="80">
        <f t="shared" si="5"/>
        <v>0</v>
      </c>
      <c r="Z17" s="70">
        <f t="shared" si="0"/>
        <v>22499.226307333334</v>
      </c>
    </row>
    <row r="18" spans="1:26" ht="14.25" customHeight="1" x14ac:dyDescent="0.25">
      <c r="A18" s="10"/>
      <c r="B18" s="43"/>
      <c r="C18" s="43"/>
      <c r="D18" s="44"/>
      <c r="E18" s="45"/>
      <c r="F18" s="43"/>
      <c r="G18" s="43"/>
      <c r="H18" s="43"/>
      <c r="I18" s="43"/>
      <c r="M18" s="30">
        <v>12</v>
      </c>
      <c r="N18" s="34">
        <f t="shared" si="1"/>
        <v>403404.61155885702</v>
      </c>
      <c r="O18" s="35">
        <f t="shared" si="2"/>
        <v>8.4891542836459791E-2</v>
      </c>
      <c r="P18" s="36">
        <f>'All Cash'!$D$38</f>
        <v>396000.00000000006</v>
      </c>
      <c r="Q18" s="37">
        <f>'All Cash'!$H$31</f>
        <v>3.5000000000000003E-2</v>
      </c>
      <c r="R18" s="38">
        <f>'All Cash'!$D$24</f>
        <v>391000</v>
      </c>
      <c r="S18" s="38">
        <v>0</v>
      </c>
      <c r="T18" s="39">
        <f t="shared" si="3"/>
        <v>199827.84502242692</v>
      </c>
      <c r="U18" s="39">
        <v>0</v>
      </c>
      <c r="V18" s="39">
        <f>(R18+T18)*'All Cash'!$H$35</f>
        <v>41357.94915156989</v>
      </c>
      <c r="W18" s="36">
        <f>'All Cash'!$I$27*'All Cash'!$M18</f>
        <v>244934.71568800003</v>
      </c>
      <c r="X18" s="34">
        <f t="shared" si="4"/>
        <v>22499.226307333334</v>
      </c>
      <c r="Y18" s="80">
        <f t="shared" si="5"/>
        <v>0</v>
      </c>
      <c r="Z18" s="70">
        <f t="shared" si="0"/>
        <v>22499.226307333334</v>
      </c>
    </row>
    <row r="19" spans="1:26" ht="14.25" customHeight="1" x14ac:dyDescent="0.25">
      <c r="A19" s="10"/>
      <c r="B19" s="43"/>
      <c r="C19" s="43"/>
      <c r="D19" s="44"/>
      <c r="E19" s="45"/>
      <c r="F19" s="43"/>
      <c r="G19" s="43"/>
      <c r="H19" s="43"/>
      <c r="I19" s="43"/>
      <c r="M19" s="30">
        <v>13</v>
      </c>
      <c r="N19" s="34">
        <f t="shared" si="1"/>
        <v>443047.28422167024</v>
      </c>
      <c r="O19" s="35">
        <f t="shared" si="2"/>
        <v>8.6062021022080451E-2</v>
      </c>
      <c r="P19" s="36">
        <f>'All Cash'!$D$38</f>
        <v>396000.00000000006</v>
      </c>
      <c r="Q19" s="37">
        <f>'All Cash'!$H$31</f>
        <v>3.5000000000000003E-2</v>
      </c>
      <c r="R19" s="38">
        <f>'All Cash'!$D$24</f>
        <v>391000</v>
      </c>
      <c r="S19" s="38">
        <v>0</v>
      </c>
      <c r="T19" s="39">
        <f t="shared" si="3"/>
        <v>220506.81959821167</v>
      </c>
      <c r="U19" s="39">
        <v>0</v>
      </c>
      <c r="V19" s="39">
        <f>(R19+T19)*'All Cash'!$H$35</f>
        <v>42805.477371874818</v>
      </c>
      <c r="W19" s="36">
        <f>'All Cash'!$I$27*'All Cash'!$M19</f>
        <v>265345.94199533336</v>
      </c>
      <c r="X19" s="34">
        <f t="shared" si="4"/>
        <v>22499.226307333334</v>
      </c>
      <c r="Y19" s="80">
        <f t="shared" si="5"/>
        <v>0</v>
      </c>
      <c r="Z19" s="70">
        <f t="shared" si="0"/>
        <v>22499.226307333334</v>
      </c>
    </row>
    <row r="20" spans="1:26" ht="14.25" customHeight="1" x14ac:dyDescent="0.25">
      <c r="A20" s="10"/>
      <c r="B20" s="43"/>
      <c r="C20" s="43"/>
      <c r="D20" s="44"/>
      <c r="E20" s="45"/>
      <c r="F20" s="43"/>
      <c r="G20" s="43"/>
      <c r="H20" s="43"/>
      <c r="I20" s="43"/>
      <c r="M20" s="30">
        <v>14</v>
      </c>
      <c r="N20" s="34">
        <f t="shared" si="1"/>
        <v>483363.05750692543</v>
      </c>
      <c r="O20" s="35">
        <f t="shared" si="2"/>
        <v>8.7186698684510344E-2</v>
      </c>
      <c r="P20" s="36">
        <f>'All Cash'!$D$38</f>
        <v>396000.00000000006</v>
      </c>
      <c r="Q20" s="37">
        <f>'All Cash'!$H$31</f>
        <v>3.5000000000000003E-2</v>
      </c>
      <c r="R20" s="38">
        <f>'All Cash'!$D$24</f>
        <v>391000</v>
      </c>
      <c r="S20" s="38">
        <v>0</v>
      </c>
      <c r="T20" s="39">
        <f t="shared" si="3"/>
        <v>241909.55828414916</v>
      </c>
      <c r="U20" s="39">
        <v>0</v>
      </c>
      <c r="V20" s="39">
        <f>(R20+T20)*'All Cash'!$H$35</f>
        <v>44303.669079890446</v>
      </c>
      <c r="W20" s="36">
        <f>'All Cash'!$I$27*'All Cash'!$M20</f>
        <v>285757.16830266669</v>
      </c>
      <c r="X20" s="34">
        <f t="shared" si="4"/>
        <v>22499.226307333334</v>
      </c>
      <c r="Y20" s="80">
        <f t="shared" si="5"/>
        <v>0</v>
      </c>
      <c r="Z20" s="70">
        <f t="shared" si="0"/>
        <v>22499.226307333334</v>
      </c>
    </row>
    <row r="21" spans="1:26" ht="14.25" customHeight="1" x14ac:dyDescent="0.25">
      <c r="A21" s="10"/>
      <c r="B21" s="43"/>
      <c r="C21" s="43"/>
      <c r="D21" s="44"/>
      <c r="E21" s="45"/>
      <c r="F21" s="43"/>
      <c r="G21" s="43"/>
      <c r="H21" s="43"/>
      <c r="I21" s="43"/>
      <c r="M21" s="40">
        <v>15</v>
      </c>
      <c r="N21" s="34">
        <f t="shared" si="1"/>
        <v>524375.48993640777</v>
      </c>
      <c r="O21" s="35">
        <f t="shared" si="2"/>
        <v>8.8278702009496238E-2</v>
      </c>
      <c r="P21" s="36">
        <f>'All Cash'!$D$38</f>
        <v>396000.00000000006</v>
      </c>
      <c r="Q21" s="37">
        <f>'All Cash'!$H$31</f>
        <v>3.5000000000000003E-2</v>
      </c>
      <c r="R21" s="38">
        <f>'All Cash'!$D$24</f>
        <v>391000</v>
      </c>
      <c r="S21" s="38">
        <v>0</v>
      </c>
      <c r="T21" s="41">
        <f t="shared" si="3"/>
        <v>264061.39282409428</v>
      </c>
      <c r="U21" s="39">
        <v>0</v>
      </c>
      <c r="V21" s="39">
        <f>(R21+T21)*'All Cash'!$H$35</f>
        <v>45854.297497686603</v>
      </c>
      <c r="W21" s="36">
        <f>'All Cash'!$I$27*'All Cash'!$M21</f>
        <v>306168.39461000002</v>
      </c>
      <c r="X21" s="34">
        <f t="shared" si="4"/>
        <v>22499.226307333334</v>
      </c>
      <c r="Y21" s="80">
        <f t="shared" si="5"/>
        <v>609207.0953264077</v>
      </c>
      <c r="Z21" s="70">
        <f t="shared" si="0"/>
        <v>631706.32163374103</v>
      </c>
    </row>
    <row r="22" spans="1:26" ht="14.25" customHeight="1" x14ac:dyDescent="0.25">
      <c r="A22" s="10"/>
      <c r="B22" s="43"/>
      <c r="C22" s="43"/>
      <c r="D22" s="44"/>
      <c r="E22" s="45"/>
      <c r="F22" s="43"/>
      <c r="G22" s="43"/>
      <c r="H22" s="43"/>
      <c r="I22" s="43"/>
      <c r="M22" s="30">
        <v>16</v>
      </c>
      <c r="N22" s="34">
        <f t="shared" si="1"/>
        <v>566108.96458016522</v>
      </c>
      <c r="O22" s="35">
        <f t="shared" si="2"/>
        <v>8.9348005773384656E-2</v>
      </c>
      <c r="P22" s="36">
        <f>'All Cash'!$D$38</f>
        <v>396000.00000000006</v>
      </c>
      <c r="Q22" s="37">
        <f>'All Cash'!$H$31</f>
        <v>3.5000000000000003E-2</v>
      </c>
      <c r="R22" s="38">
        <f>'All Cash'!$D$24</f>
        <v>391000</v>
      </c>
      <c r="S22" s="38">
        <v>0</v>
      </c>
      <c r="T22" s="39">
        <f t="shared" si="3"/>
        <v>286988.54157293751</v>
      </c>
      <c r="U22" s="39">
        <v>0</v>
      </c>
      <c r="V22" s="39">
        <f>(R22+T22)*'All Cash'!$H$35</f>
        <v>47459.197910105628</v>
      </c>
      <c r="W22" s="36">
        <f>'All Cash'!$I$27*'All Cash'!$M22</f>
        <v>326579.62091733335</v>
      </c>
      <c r="X22" s="34">
        <f t="shared" si="4"/>
        <v>22499.226307333334</v>
      </c>
      <c r="Y22" s="80">
        <f t="shared" si="5"/>
        <v>0</v>
      </c>
      <c r="Z22" s="70">
        <f t="shared" si="0"/>
        <v>0</v>
      </c>
    </row>
    <row r="23" spans="1:26" ht="18" x14ac:dyDescent="0.25">
      <c r="A23" s="10"/>
      <c r="B23" s="46" t="s">
        <v>0</v>
      </c>
      <c r="C23" s="46"/>
      <c r="D23" s="47"/>
      <c r="E23" s="48"/>
      <c r="F23" s="49"/>
      <c r="G23" s="46" t="s">
        <v>23</v>
      </c>
      <c r="H23" s="48" t="s">
        <v>11</v>
      </c>
      <c r="I23" s="48" t="s">
        <v>12</v>
      </c>
      <c r="M23" s="30">
        <v>17</v>
      </c>
      <c r="N23" s="34">
        <f t="shared" si="1"/>
        <v>608588.71791569761</v>
      </c>
      <c r="O23" s="35">
        <f t="shared" si="2"/>
        <v>9.0402364515106581E-2</v>
      </c>
      <c r="P23" s="36">
        <f>'All Cash'!$D$38</f>
        <v>396000.00000000006</v>
      </c>
      <c r="Q23" s="37">
        <f>'All Cash'!$H$31</f>
        <v>3.5000000000000003E-2</v>
      </c>
      <c r="R23" s="38">
        <f>'All Cash'!$D$24</f>
        <v>391000</v>
      </c>
      <c r="S23" s="38">
        <v>0</v>
      </c>
      <c r="T23" s="39">
        <f t="shared" si="3"/>
        <v>310718.1405279903</v>
      </c>
      <c r="U23" s="39">
        <v>0</v>
      </c>
      <c r="V23" s="39">
        <f>(R23+T23)*'All Cash'!$H$35</f>
        <v>49120.269836959327</v>
      </c>
      <c r="W23" s="36">
        <f>'All Cash'!$I$27*'All Cash'!$M23</f>
        <v>346990.84722466668</v>
      </c>
      <c r="X23" s="34">
        <f t="shared" si="4"/>
        <v>22499.226307333334</v>
      </c>
      <c r="Y23" s="80">
        <f t="shared" si="5"/>
        <v>0</v>
      </c>
      <c r="Z23" s="70">
        <f t="shared" si="0"/>
        <v>0</v>
      </c>
    </row>
    <row r="24" spans="1:26" x14ac:dyDescent="0.25">
      <c r="A24" s="10"/>
      <c r="B24" s="56" t="s">
        <v>84</v>
      </c>
      <c r="C24" s="56"/>
      <c r="D24" s="61">
        <f>D34</f>
        <v>391000</v>
      </c>
      <c r="E24" s="45"/>
      <c r="F24" s="43"/>
      <c r="G24" s="44" t="s">
        <v>24</v>
      </c>
      <c r="H24" s="50">
        <f>Summary!C11</f>
        <v>1450</v>
      </c>
      <c r="I24" s="53">
        <f>H24*12</f>
        <v>17400</v>
      </c>
      <c r="M24" s="30">
        <v>18</v>
      </c>
      <c r="N24" s="34">
        <f t="shared" si="1"/>
        <v>651840.8696972169</v>
      </c>
      <c r="O24" s="35">
        <f t="shared" si="2"/>
        <v>9.1447933459205488E-2</v>
      </c>
      <c r="P24" s="36">
        <f>'All Cash'!$D$38</f>
        <v>396000.00000000006</v>
      </c>
      <c r="Q24" s="37">
        <f>'All Cash'!$H$31</f>
        <v>3.5000000000000003E-2</v>
      </c>
      <c r="R24" s="38">
        <f>'All Cash'!$D$24</f>
        <v>391000</v>
      </c>
      <c r="S24" s="38">
        <v>0</v>
      </c>
      <c r="T24" s="39">
        <f t="shared" si="3"/>
        <v>335278.2754464699</v>
      </c>
      <c r="U24" s="39">
        <v>0</v>
      </c>
      <c r="V24" s="39">
        <f>(R24+T24)*'All Cash'!$H$35</f>
        <v>50839.479281252898</v>
      </c>
      <c r="W24" s="36">
        <f>'All Cash'!$I$27*'All Cash'!$M24</f>
        <v>367402.07353200001</v>
      </c>
      <c r="X24" s="34">
        <f t="shared" si="4"/>
        <v>22499.226307333334</v>
      </c>
      <c r="Y24" s="80">
        <f t="shared" si="5"/>
        <v>0</v>
      </c>
      <c r="Z24" s="70">
        <f t="shared" si="0"/>
        <v>0</v>
      </c>
    </row>
    <row r="25" spans="1:26" x14ac:dyDescent="0.25">
      <c r="A25" s="10"/>
      <c r="B25" s="56" t="s">
        <v>89</v>
      </c>
      <c r="C25" s="56"/>
      <c r="D25" s="61">
        <f>I25</f>
        <v>34800</v>
      </c>
      <c r="E25" s="45"/>
      <c r="F25" s="43"/>
      <c r="G25" s="44" t="s">
        <v>134</v>
      </c>
      <c r="H25" s="50">
        <f>H24*2</f>
        <v>2900</v>
      </c>
      <c r="I25" s="53">
        <f t="shared" ref="I25" si="6">H25*12</f>
        <v>34800</v>
      </c>
      <c r="M25" s="30">
        <v>19</v>
      </c>
      <c r="N25" s="34">
        <f t="shared" si="1"/>
        <v>695892.45387033292</v>
      </c>
      <c r="O25" s="35">
        <f t="shared" si="2"/>
        <v>9.2489693496854444E-2</v>
      </c>
      <c r="P25" s="36">
        <f>'All Cash'!$D$38</f>
        <v>396000.00000000006</v>
      </c>
      <c r="Q25" s="37">
        <f>'All Cash'!$H$31</f>
        <v>3.5000000000000003E-2</v>
      </c>
      <c r="R25" s="38">
        <f>'All Cash'!$D$24</f>
        <v>391000</v>
      </c>
      <c r="S25" s="38">
        <v>0</v>
      </c>
      <c r="T25" s="39">
        <f t="shared" si="3"/>
        <v>360698.01508709625</v>
      </c>
      <c r="U25" s="39">
        <v>0</v>
      </c>
      <c r="V25" s="39">
        <f>(R25+T25)*'All Cash'!$H$35</f>
        <v>52618.861056096743</v>
      </c>
      <c r="W25" s="36">
        <f>'All Cash'!$I$27*'All Cash'!$M25</f>
        <v>387813.29983933334</v>
      </c>
      <c r="X25" s="34">
        <f t="shared" si="4"/>
        <v>22499.226307333334</v>
      </c>
      <c r="Y25" s="80">
        <f t="shared" si="5"/>
        <v>0</v>
      </c>
      <c r="Z25" s="70">
        <f t="shared" si="0"/>
        <v>0</v>
      </c>
    </row>
    <row r="26" spans="1:26" x14ac:dyDescent="0.25">
      <c r="A26" s="10"/>
      <c r="B26" s="56" t="s">
        <v>2</v>
      </c>
      <c r="C26" s="56"/>
      <c r="D26" s="61">
        <f>D38</f>
        <v>396000.00000000006</v>
      </c>
      <c r="E26" s="45"/>
      <c r="F26" s="43"/>
      <c r="G26" s="44" t="s">
        <v>115</v>
      </c>
      <c r="H26" s="50">
        <f>D47</f>
        <v>1199.0644743888888</v>
      </c>
      <c r="I26" s="50">
        <f>E47</f>
        <v>14388.773692666666</v>
      </c>
      <c r="M26" s="30">
        <v>20</v>
      </c>
      <c r="N26" s="34">
        <f t="shared" si="1"/>
        <v>740771.45056875097</v>
      </c>
      <c r="O26" s="35">
        <f t="shared" si="2"/>
        <v>9.3531748809185716E-2</v>
      </c>
      <c r="P26" s="36">
        <f>'All Cash'!$D$38</f>
        <v>396000.00000000006</v>
      </c>
      <c r="Q26" s="37">
        <f>'All Cash'!$H$31</f>
        <v>3.5000000000000003E-2</v>
      </c>
      <c r="R26" s="38">
        <f>'All Cash'!$D$24</f>
        <v>391000</v>
      </c>
      <c r="S26" s="38">
        <v>0</v>
      </c>
      <c r="T26" s="39">
        <f t="shared" si="3"/>
        <v>387007.44561514445</v>
      </c>
      <c r="U26" s="39">
        <v>0</v>
      </c>
      <c r="V26" s="39">
        <f>(R26+T26)*'All Cash'!$H$35</f>
        <v>54460.521193060114</v>
      </c>
      <c r="W26" s="36">
        <f>'All Cash'!$I$27*'All Cash'!$M26</f>
        <v>408224.52614666667</v>
      </c>
      <c r="X26" s="34">
        <f t="shared" si="4"/>
        <v>22499.226307333334</v>
      </c>
      <c r="Y26" s="80">
        <f t="shared" si="5"/>
        <v>0</v>
      </c>
      <c r="Z26" s="70">
        <f t="shared" si="0"/>
        <v>0</v>
      </c>
    </row>
    <row r="27" spans="1:26" x14ac:dyDescent="0.25">
      <c r="A27" s="10"/>
      <c r="B27" s="56" t="s">
        <v>123</v>
      </c>
      <c r="C27" s="56"/>
      <c r="D27" s="61">
        <f>H27</f>
        <v>1700.9355256111112</v>
      </c>
      <c r="E27" s="45"/>
      <c r="F27" s="43"/>
      <c r="G27" s="56" t="s">
        <v>117</v>
      </c>
      <c r="H27" s="58">
        <f>H25-H26</f>
        <v>1700.9355256111112</v>
      </c>
      <c r="I27" s="59">
        <f>H27*12</f>
        <v>20411.226307333334</v>
      </c>
      <c r="M27" s="30">
        <v>21</v>
      </c>
      <c r="N27" s="34">
        <f t="shared" si="1"/>
        <v>786506.81923085707</v>
      </c>
      <c r="O27" s="35">
        <f t="shared" si="2"/>
        <v>9.4577539590050136E-2</v>
      </c>
      <c r="P27" s="36">
        <f>'All Cash'!$D$38</f>
        <v>396000.00000000006</v>
      </c>
      <c r="Q27" s="37">
        <f>'All Cash'!$H$31</f>
        <v>3.5000000000000003E-2</v>
      </c>
      <c r="R27" s="38">
        <f>'All Cash'!$D$24</f>
        <v>391000</v>
      </c>
      <c r="S27" s="38">
        <v>0</v>
      </c>
      <c r="T27" s="39">
        <f t="shared" si="3"/>
        <v>414237.70621167438</v>
      </c>
      <c r="U27" s="39">
        <v>0</v>
      </c>
      <c r="V27" s="39">
        <f>(R27+T27)*'All Cash'!$H$35</f>
        <v>56366.639434817211</v>
      </c>
      <c r="W27" s="36">
        <f>'All Cash'!$I$27*'All Cash'!$M27</f>
        <v>428635.752454</v>
      </c>
      <c r="X27" s="34">
        <f t="shared" si="4"/>
        <v>22499.226307333334</v>
      </c>
      <c r="Y27" s="80">
        <f t="shared" si="5"/>
        <v>0</v>
      </c>
      <c r="Z27" s="70">
        <f t="shared" si="0"/>
        <v>0</v>
      </c>
    </row>
    <row r="28" spans="1:26" x14ac:dyDescent="0.25">
      <c r="A28" s="10"/>
      <c r="B28" s="56" t="s">
        <v>124</v>
      </c>
      <c r="C28" s="56"/>
      <c r="D28" s="61">
        <f>H28</f>
        <v>1874.9355256111112</v>
      </c>
      <c r="E28" s="45"/>
      <c r="F28" s="43"/>
      <c r="G28" s="56" t="s">
        <v>116</v>
      </c>
      <c r="H28" s="58">
        <f>H25-H26+D45+D46</f>
        <v>1874.9355256111112</v>
      </c>
      <c r="I28" s="59">
        <f>H28*12</f>
        <v>22499.226307333334</v>
      </c>
      <c r="M28" s="30">
        <v>22</v>
      </c>
      <c r="N28" s="34">
        <f t="shared" si="1"/>
        <v>833128.5328753806</v>
      </c>
      <c r="O28" s="35">
        <f t="shared" si="2"/>
        <v>9.5629996886522087E-2</v>
      </c>
      <c r="P28" s="36">
        <f>'All Cash'!$D$38</f>
        <v>396000.00000000006</v>
      </c>
      <c r="Q28" s="37">
        <f>'All Cash'!$H$31</f>
        <v>3.5000000000000003E-2</v>
      </c>
      <c r="R28" s="38">
        <f>'All Cash'!$D$24</f>
        <v>391000</v>
      </c>
      <c r="S28" s="38">
        <v>0</v>
      </c>
      <c r="T28" s="39">
        <f t="shared" si="3"/>
        <v>442421.025929083</v>
      </c>
      <c r="U28" s="39">
        <v>0</v>
      </c>
      <c r="V28" s="39">
        <f>(R28+T28)*'All Cash'!$H$35</f>
        <v>58339.471815035817</v>
      </c>
      <c r="W28" s="36">
        <f>'All Cash'!$I$27*'All Cash'!$M28</f>
        <v>449046.97876133333</v>
      </c>
      <c r="X28" s="34">
        <f t="shared" si="4"/>
        <v>22499.226307333334</v>
      </c>
      <c r="Y28" s="80">
        <f t="shared" si="5"/>
        <v>0</v>
      </c>
      <c r="Z28" s="70">
        <f t="shared" si="0"/>
        <v>0</v>
      </c>
    </row>
    <row r="29" spans="1:26" x14ac:dyDescent="0.25">
      <c r="A29" s="10"/>
      <c r="B29" s="56" t="s">
        <v>3</v>
      </c>
      <c r="C29" s="56"/>
      <c r="D29" s="61">
        <f>H38</f>
        <v>524375.48993640777</v>
      </c>
      <c r="E29" s="45"/>
      <c r="F29" s="43"/>
      <c r="G29" s="10"/>
      <c r="H29" s="10"/>
      <c r="I29" s="10"/>
      <c r="M29" s="30">
        <v>23</v>
      </c>
      <c r="N29" s="34">
        <f t="shared" si="1"/>
        <v>880667.61357670557</v>
      </c>
      <c r="O29" s="35">
        <f t="shared" si="2"/>
        <v>9.6691657177943077E-2</v>
      </c>
      <c r="P29" s="36">
        <f>'All Cash'!$D$38</f>
        <v>396000.00000000006</v>
      </c>
      <c r="Q29" s="37">
        <f>'All Cash'!$H$31</f>
        <v>3.5000000000000003E-2</v>
      </c>
      <c r="R29" s="38">
        <f>'All Cash'!$D$24</f>
        <v>391000</v>
      </c>
      <c r="S29" s="38">
        <v>0</v>
      </c>
      <c r="T29" s="39">
        <f t="shared" si="3"/>
        <v>471590.76183660096</v>
      </c>
      <c r="U29" s="39">
        <v>0</v>
      </c>
      <c r="V29" s="39">
        <f>(R29+T29)*'All Cash'!$H$35</f>
        <v>60381.353328562072</v>
      </c>
      <c r="W29" s="36">
        <f>'All Cash'!$I$27*'All Cash'!$M29</f>
        <v>469458.20506866666</v>
      </c>
      <c r="X29" s="34">
        <f t="shared" si="4"/>
        <v>22499.226307333334</v>
      </c>
      <c r="Y29" s="80">
        <f t="shared" si="5"/>
        <v>0</v>
      </c>
      <c r="Z29" s="70">
        <f t="shared" si="0"/>
        <v>0</v>
      </c>
    </row>
    <row r="30" spans="1:26" ht="18" x14ac:dyDescent="0.25">
      <c r="A30" s="10"/>
      <c r="B30" s="56" t="s">
        <v>4</v>
      </c>
      <c r="C30" s="56"/>
      <c r="D30" s="57">
        <f>H42</f>
        <v>8.8278702009496238E-2</v>
      </c>
      <c r="E30" s="45"/>
      <c r="F30" s="43"/>
      <c r="G30" s="46" t="s">
        <v>25</v>
      </c>
      <c r="H30" s="48"/>
      <c r="I30" s="48"/>
      <c r="M30" s="30">
        <v>24</v>
      </c>
      <c r="N30" s="34">
        <f t="shared" si="1"/>
        <v>929156.16918182012</v>
      </c>
      <c r="O30" s="35">
        <f t="shared" si="2"/>
        <v>9.7764748440848051E-2</v>
      </c>
      <c r="P30" s="36">
        <f>'All Cash'!$D$38</f>
        <v>396000.00000000006</v>
      </c>
      <c r="Q30" s="37">
        <f>'All Cash'!$H$31</f>
        <v>3.5000000000000003E-2</v>
      </c>
      <c r="R30" s="38">
        <f>'All Cash'!$D$24</f>
        <v>391000</v>
      </c>
      <c r="S30" s="38">
        <v>0</v>
      </c>
      <c r="T30" s="39">
        <f t="shared" si="3"/>
        <v>501781.43850088178</v>
      </c>
      <c r="U30" s="39">
        <v>0</v>
      </c>
      <c r="V30" s="39">
        <f>(R30+T30)*'All Cash'!$H$35</f>
        <v>62494.700695061729</v>
      </c>
      <c r="W30" s="36">
        <f>'All Cash'!$I$27*'All Cash'!$M30</f>
        <v>489869.43137600005</v>
      </c>
      <c r="X30" s="34">
        <f t="shared" si="4"/>
        <v>22499.226307333334</v>
      </c>
      <c r="Y30" s="80">
        <f t="shared" si="5"/>
        <v>0</v>
      </c>
      <c r="Z30" s="70">
        <f t="shared" si="0"/>
        <v>0</v>
      </c>
    </row>
    <row r="31" spans="1:26" x14ac:dyDescent="0.25">
      <c r="A31" s="10"/>
      <c r="B31" s="56" t="s">
        <v>122</v>
      </c>
      <c r="D31" s="57">
        <f>H43</f>
        <v>7.709766024279352E-2</v>
      </c>
      <c r="F31" s="43"/>
      <c r="G31" s="44" t="s">
        <v>26</v>
      </c>
      <c r="H31" s="62">
        <f>Summary!C12</f>
        <v>3.5000000000000003E-2</v>
      </c>
      <c r="I31" s="45"/>
      <c r="M31" s="30">
        <v>25</v>
      </c>
      <c r="N31" s="34">
        <f t="shared" si="1"/>
        <v>978627.43131235708</v>
      </c>
      <c r="O31" s="35">
        <f t="shared" si="2"/>
        <v>9.8851255688116868E-2</v>
      </c>
      <c r="P31" s="36">
        <f>'All Cash'!$D$38</f>
        <v>396000.00000000006</v>
      </c>
      <c r="Q31" s="37">
        <f>'All Cash'!$H$31</f>
        <v>3.5000000000000003E-2</v>
      </c>
      <c r="R31" s="38">
        <f>'All Cash'!$D$24</f>
        <v>391000</v>
      </c>
      <c r="S31" s="38">
        <v>0</v>
      </c>
      <c r="T31" s="39">
        <f t="shared" si="3"/>
        <v>533028.78884841257</v>
      </c>
      <c r="U31" s="39">
        <v>0</v>
      </c>
      <c r="V31" s="39">
        <f>(R31+T31)*'All Cash'!$H$35</f>
        <v>64682.015219388886</v>
      </c>
      <c r="W31" s="36">
        <f>'All Cash'!$I$27*'All Cash'!$M31</f>
        <v>510280.65768333338</v>
      </c>
      <c r="X31" s="34">
        <f t="shared" si="4"/>
        <v>22499.226307333334</v>
      </c>
      <c r="Y31" s="80">
        <f t="shared" si="5"/>
        <v>0</v>
      </c>
      <c r="Z31" s="70">
        <f t="shared" si="0"/>
        <v>0</v>
      </c>
    </row>
    <row r="32" spans="1:26" x14ac:dyDescent="0.25">
      <c r="A32" s="10"/>
      <c r="B32" s="56" t="s">
        <v>5</v>
      </c>
      <c r="C32" s="56"/>
      <c r="D32" s="57">
        <f>H44</f>
        <v>5.2202624826939471E-2</v>
      </c>
      <c r="E32" s="45"/>
      <c r="F32" s="43"/>
      <c r="G32" s="44" t="s">
        <v>27</v>
      </c>
      <c r="H32" s="79">
        <f>Summary!C13</f>
        <v>15</v>
      </c>
      <c r="I32" s="45"/>
      <c r="M32" s="30">
        <v>26</v>
      </c>
      <c r="N32" s="34">
        <f t="shared" si="1"/>
        <v>1029115.7946967063</v>
      </c>
      <c r="O32" s="35">
        <f t="shared" si="2"/>
        <v>9.9952971512889094E-2</v>
      </c>
      <c r="P32" s="36">
        <f>'All Cash'!$D$38</f>
        <v>396000.00000000006</v>
      </c>
      <c r="Q32" s="37">
        <f>'All Cash'!$H$31</f>
        <v>3.5000000000000003E-2</v>
      </c>
      <c r="R32" s="38">
        <f>'All Cash'!$D$24</f>
        <v>391000</v>
      </c>
      <c r="S32" s="38">
        <v>0</v>
      </c>
      <c r="T32" s="39">
        <f t="shared" si="3"/>
        <v>565369.79645810695</v>
      </c>
      <c r="U32" s="39">
        <v>0</v>
      </c>
      <c r="V32" s="39">
        <f>(R32+T32)*'All Cash'!$H$35</f>
        <v>66945.885752067494</v>
      </c>
      <c r="W32" s="36">
        <f>'All Cash'!$I$27*'All Cash'!$M32</f>
        <v>530691.88399066671</v>
      </c>
      <c r="X32" s="34">
        <f t="shared" si="4"/>
        <v>22499.226307333334</v>
      </c>
      <c r="Y32" s="80">
        <f t="shared" si="5"/>
        <v>0</v>
      </c>
      <c r="Z32" s="70">
        <f t="shared" si="0"/>
        <v>0</v>
      </c>
    </row>
    <row r="33" spans="1:26" ht="18" x14ac:dyDescent="0.25">
      <c r="A33" s="10"/>
      <c r="B33" s="46" t="s">
        <v>6</v>
      </c>
      <c r="C33" s="46"/>
      <c r="D33" s="47"/>
      <c r="E33" s="48"/>
      <c r="F33" s="43"/>
      <c r="G33" s="56" t="str">
        <f>CONCATENATE("Appreciation After ",H32," Years")</f>
        <v>Appreciation After 15 Years</v>
      </c>
      <c r="H33" s="58">
        <f>$D$34*(1+H31)^H32-$D$34</f>
        <v>264061.39282409428</v>
      </c>
      <c r="I33" s="10"/>
      <c r="M33" s="30">
        <v>27</v>
      </c>
      <c r="N33" s="34">
        <f t="shared" si="1"/>
        <v>1080656.8578787509</v>
      </c>
      <c r="O33" s="35">
        <f t="shared" si="2"/>
        <v>0.10107153552925091</v>
      </c>
      <c r="P33" s="36">
        <f>'All Cash'!$D$38</f>
        <v>396000.00000000006</v>
      </c>
      <c r="Q33" s="37">
        <f>'All Cash'!$H$31</f>
        <v>3.5000000000000003E-2</v>
      </c>
      <c r="R33" s="38">
        <f>'All Cash'!$D$24</f>
        <v>391000</v>
      </c>
      <c r="S33" s="38">
        <v>0</v>
      </c>
      <c r="T33" s="39">
        <f t="shared" si="3"/>
        <v>598842.73933414079</v>
      </c>
      <c r="U33" s="39">
        <v>0</v>
      </c>
      <c r="V33" s="39">
        <f>(R33+T33)*'All Cash'!$H$35</f>
        <v>69288.991753389855</v>
      </c>
      <c r="W33" s="36">
        <f>'All Cash'!$I$27*'All Cash'!$M33</f>
        <v>551103.11029800004</v>
      </c>
      <c r="X33" s="34">
        <f t="shared" si="4"/>
        <v>22499.226307333334</v>
      </c>
      <c r="Y33" s="80">
        <f t="shared" si="5"/>
        <v>0</v>
      </c>
      <c r="Z33" s="70">
        <f t="shared" si="0"/>
        <v>0</v>
      </c>
    </row>
    <row r="34" spans="1:26" x14ac:dyDescent="0.25">
      <c r="A34" s="10"/>
      <c r="B34" s="44" t="s">
        <v>84</v>
      </c>
      <c r="C34" s="44"/>
      <c r="D34" s="50">
        <f>Summary!C8</f>
        <v>391000</v>
      </c>
      <c r="E34" s="45"/>
      <c r="F34" s="43"/>
      <c r="G34" s="10"/>
      <c r="H34" s="10"/>
      <c r="I34" s="10"/>
      <c r="M34" s="30">
        <v>28</v>
      </c>
      <c r="N34" s="34">
        <f t="shared" si="1"/>
        <v>1133287.4653514107</v>
      </c>
      <c r="O34" s="35">
        <f t="shared" si="2"/>
        <v>0.10220846548984583</v>
      </c>
      <c r="P34" s="36">
        <f>'All Cash'!$D$38</f>
        <v>396000.00000000006</v>
      </c>
      <c r="Q34" s="37">
        <f>'All Cash'!$H$31</f>
        <v>3.5000000000000003E-2</v>
      </c>
      <c r="R34" s="38">
        <f>'All Cash'!$D$24</f>
        <v>391000</v>
      </c>
      <c r="S34" s="38">
        <v>0</v>
      </c>
      <c r="T34" s="39">
        <f t="shared" si="3"/>
        <v>633487.2352108357</v>
      </c>
      <c r="U34" s="39">
        <v>0</v>
      </c>
      <c r="V34" s="39">
        <f>(R34+T34)*'All Cash'!$H$35</f>
        <v>71714.106464758501</v>
      </c>
      <c r="W34" s="36">
        <f>'All Cash'!$I$27*'All Cash'!$M34</f>
        <v>571514.33660533337</v>
      </c>
      <c r="X34" s="34">
        <f t="shared" si="4"/>
        <v>22499.226307333334</v>
      </c>
      <c r="Y34" s="80">
        <f t="shared" si="5"/>
        <v>0</v>
      </c>
      <c r="Z34" s="70">
        <f t="shared" si="0"/>
        <v>0</v>
      </c>
    </row>
    <row r="35" spans="1:26" x14ac:dyDescent="0.25">
      <c r="A35" s="10"/>
      <c r="B35" s="44" t="s">
        <v>8</v>
      </c>
      <c r="C35" s="81">
        <v>1.0000000000000002</v>
      </c>
      <c r="D35" s="52">
        <f>C35*D34</f>
        <v>391000.00000000006</v>
      </c>
      <c r="E35" s="45"/>
      <c r="F35" s="43"/>
      <c r="G35" s="44" t="s">
        <v>31</v>
      </c>
      <c r="H35" s="51">
        <v>7.0000000000000007E-2</v>
      </c>
      <c r="I35" s="45" t="s">
        <v>74</v>
      </c>
      <c r="M35" s="30">
        <v>29</v>
      </c>
      <c r="N35" s="34">
        <f t="shared" si="1"/>
        <v>1187045.7511648564</v>
      </c>
      <c r="O35" s="35">
        <f t="shared" si="2"/>
        <v>0.10336518209377013</v>
      </c>
      <c r="P35" s="36">
        <f>'All Cash'!$D$38</f>
        <v>396000.00000000006</v>
      </c>
      <c r="Q35" s="37">
        <f>'All Cash'!$H$31</f>
        <v>3.5000000000000003E-2</v>
      </c>
      <c r="R35" s="38">
        <f>'All Cash'!$D$24</f>
        <v>391000</v>
      </c>
      <c r="S35" s="38">
        <v>0</v>
      </c>
      <c r="T35" s="39">
        <f t="shared" si="3"/>
        <v>669344.28844321473</v>
      </c>
      <c r="U35" s="39">
        <v>0</v>
      </c>
      <c r="V35" s="39">
        <f>(R35+T35)*'All Cash'!$H$35</f>
        <v>74224.100191025034</v>
      </c>
      <c r="W35" s="36">
        <f>'All Cash'!$I$27*'All Cash'!$M35</f>
        <v>591925.5629126667</v>
      </c>
      <c r="X35" s="34">
        <f t="shared" si="4"/>
        <v>22499.226307333334</v>
      </c>
      <c r="Y35" s="80">
        <f t="shared" si="5"/>
        <v>0</v>
      </c>
      <c r="Z35" s="70">
        <f t="shared" si="0"/>
        <v>0</v>
      </c>
    </row>
    <row r="36" spans="1:26" x14ac:dyDescent="0.25">
      <c r="A36" s="10"/>
      <c r="B36" s="44" t="s">
        <v>85</v>
      </c>
      <c r="C36" s="44"/>
      <c r="D36" s="52">
        <v>5000</v>
      </c>
      <c r="E36" s="45"/>
      <c r="F36" s="43"/>
      <c r="G36" s="44" t="s">
        <v>32</v>
      </c>
      <c r="H36" s="52">
        <f>(D34+H33)*$H$35</f>
        <v>45854.297497686603</v>
      </c>
      <c r="I36" s="45"/>
      <c r="M36" s="30">
        <v>30</v>
      </c>
      <c r="N36" s="34">
        <f t="shared" si="1"/>
        <v>1241971.1840610164</v>
      </c>
      <c r="O36" s="35">
        <f t="shared" si="2"/>
        <v>0.104543028961365</v>
      </c>
      <c r="P36" s="36">
        <f>'All Cash'!$D$38</f>
        <v>396000.00000000006</v>
      </c>
      <c r="Q36" s="37">
        <f>'All Cash'!$H$31</f>
        <v>3.5000000000000003E-2</v>
      </c>
      <c r="R36" s="38">
        <f>'All Cash'!$D$24</f>
        <v>391000</v>
      </c>
      <c r="S36" s="38">
        <v>0</v>
      </c>
      <c r="T36" s="39">
        <f t="shared" si="3"/>
        <v>706456.33853872726</v>
      </c>
      <c r="U36" s="39">
        <v>0</v>
      </c>
      <c r="V36" s="39">
        <f>(R36+T36)*'All Cash'!$H$35</f>
        <v>76821.943697710914</v>
      </c>
      <c r="W36" s="36">
        <f>'All Cash'!$I$27*'All Cash'!$M36</f>
        <v>612336.78922000004</v>
      </c>
      <c r="X36" s="34">
        <f t="shared" si="4"/>
        <v>22499.226307333334</v>
      </c>
      <c r="Y36" s="80">
        <f t="shared" si="5"/>
        <v>0</v>
      </c>
      <c r="Z36" s="70">
        <f t="shared" si="0"/>
        <v>0</v>
      </c>
    </row>
    <row r="37" spans="1:26" x14ac:dyDescent="0.25">
      <c r="A37" s="10"/>
      <c r="B37" s="44" t="s">
        <v>9</v>
      </c>
      <c r="C37" s="44"/>
      <c r="D37" s="50">
        <v>0</v>
      </c>
      <c r="E37" s="60"/>
      <c r="F37" s="43"/>
      <c r="G37" s="56" t="s">
        <v>28</v>
      </c>
      <c r="H37" s="64">
        <f>H32*I27</f>
        <v>306168.39461000002</v>
      </c>
      <c r="I37" s="45"/>
      <c r="J37" s="3"/>
      <c r="N37" s="34"/>
      <c r="Z37" s="70"/>
    </row>
    <row r="38" spans="1:26" x14ac:dyDescent="0.25">
      <c r="A38" s="10"/>
      <c r="B38" s="56" t="s">
        <v>2</v>
      </c>
      <c r="C38" s="56"/>
      <c r="D38" s="61">
        <f>SUM(D35:D37)</f>
        <v>396000.00000000006</v>
      </c>
      <c r="E38" s="45"/>
      <c r="F38" s="43"/>
      <c r="G38" s="56" t="s">
        <v>3</v>
      </c>
      <c r="H38" s="58">
        <f>H37+H33-H36</f>
        <v>524375.48993640777</v>
      </c>
      <c r="I38" s="45"/>
      <c r="J38" s="3"/>
      <c r="Z38" s="70"/>
    </row>
    <row r="39" spans="1:26" ht="18" x14ac:dyDescent="0.25">
      <c r="A39" s="10"/>
      <c r="B39" s="46" t="s">
        <v>114</v>
      </c>
      <c r="C39" s="46"/>
      <c r="D39" s="48" t="s">
        <v>11</v>
      </c>
      <c r="E39" s="48" t="s">
        <v>12</v>
      </c>
      <c r="F39" s="43"/>
      <c r="G39" s="10"/>
      <c r="H39" s="10"/>
      <c r="I39" s="45"/>
      <c r="Z39" s="70"/>
    </row>
    <row r="40" spans="1:26" x14ac:dyDescent="0.25">
      <c r="A40" s="10"/>
      <c r="B40" s="44" t="s">
        <v>17</v>
      </c>
      <c r="C40" s="82">
        <v>2.0030539999999999E-2</v>
      </c>
      <c r="D40" s="52">
        <f>C40*0.9*D34/12</f>
        <v>587.39558549999992</v>
      </c>
      <c r="E40" s="53">
        <f t="shared" ref="E40:E46" si="7">D40*12</f>
        <v>7048.7470259999991</v>
      </c>
      <c r="F40" s="43"/>
      <c r="G40" s="56" t="s">
        <v>118</v>
      </c>
      <c r="H40" s="65">
        <f>((H37/D38)/H32)</f>
        <v>5.1543500776094271E-2</v>
      </c>
      <c r="I40" s="45"/>
      <c r="Z40" s="70"/>
    </row>
    <row r="41" spans="1:26" x14ac:dyDescent="0.25">
      <c r="A41" s="10"/>
      <c r="B41" s="44" t="s">
        <v>86</v>
      </c>
      <c r="C41" s="44"/>
      <c r="D41" s="50">
        <v>105</v>
      </c>
      <c r="E41" s="53">
        <f t="shared" si="7"/>
        <v>1260</v>
      </c>
      <c r="F41" s="43"/>
      <c r="G41" s="56" t="s">
        <v>119</v>
      </c>
      <c r="H41" s="65">
        <f>((I28*H32)/D38)/H32</f>
        <v>5.6816228048821547E-2</v>
      </c>
      <c r="I41" s="45"/>
      <c r="Z41" s="70"/>
    </row>
    <row r="42" spans="1:26" x14ac:dyDescent="0.25">
      <c r="A42" s="10"/>
      <c r="B42" s="44" t="s">
        <v>125</v>
      </c>
      <c r="C42" s="44"/>
      <c r="D42" s="50">
        <f>1000/12</f>
        <v>83.333333333333329</v>
      </c>
      <c r="E42" s="53">
        <f t="shared" si="7"/>
        <v>1000</v>
      </c>
      <c r="F42" s="43"/>
      <c r="G42" s="56" t="s">
        <v>4</v>
      </c>
      <c r="H42" s="65">
        <f>H38/D38/H32</f>
        <v>8.8278702009496238E-2</v>
      </c>
      <c r="I42" s="45"/>
      <c r="Z42" s="70"/>
    </row>
    <row r="43" spans="1:26" x14ac:dyDescent="0.25">
      <c r="A43" s="10"/>
      <c r="B43" s="44" t="s">
        <v>18</v>
      </c>
      <c r="C43" s="84">
        <v>0.06</v>
      </c>
      <c r="D43" s="52">
        <f>(H25-D45)*C43</f>
        <v>168.78</v>
      </c>
      <c r="E43" s="53">
        <f t="shared" si="7"/>
        <v>2025.3600000000001</v>
      </c>
      <c r="F43" s="43"/>
      <c r="G43" s="56" t="s">
        <v>122</v>
      </c>
      <c r="H43" s="65">
        <f>IRR(Z6:Z36)</f>
        <v>7.709766024279352E-2</v>
      </c>
      <c r="I43" s="45"/>
    </row>
    <row r="44" spans="1:26" x14ac:dyDescent="0.25">
      <c r="A44" s="10"/>
      <c r="B44" s="44" t="s">
        <v>22</v>
      </c>
      <c r="C44" s="81">
        <v>0.5</v>
      </c>
      <c r="D44" s="52">
        <f>(C44*H25)/18</f>
        <v>80.555555555555557</v>
      </c>
      <c r="E44" s="53">
        <f t="shared" si="7"/>
        <v>966.66666666666674</v>
      </c>
      <c r="F44" s="43"/>
      <c r="G44" s="56" t="s">
        <v>5</v>
      </c>
      <c r="H44" s="65">
        <f>(I25-E47)/D34</f>
        <v>5.2202624826939471E-2</v>
      </c>
      <c r="I44" s="45"/>
    </row>
    <row r="45" spans="1:26" x14ac:dyDescent="0.25">
      <c r="A45" s="10"/>
      <c r="B45" s="44" t="s">
        <v>20</v>
      </c>
      <c r="C45" s="81">
        <v>0.03</v>
      </c>
      <c r="D45" s="52">
        <f>C45*H25</f>
        <v>87</v>
      </c>
      <c r="E45" s="53">
        <f t="shared" si="7"/>
        <v>1044</v>
      </c>
      <c r="F45" s="43"/>
      <c r="G45" s="10"/>
      <c r="H45" s="10"/>
      <c r="I45" s="10"/>
    </row>
    <row r="46" spans="1:26" ht="18" x14ac:dyDescent="0.25">
      <c r="A46" s="10"/>
      <c r="B46" s="44" t="s">
        <v>83</v>
      </c>
      <c r="C46" s="81">
        <v>0.03</v>
      </c>
      <c r="D46" s="52">
        <f>C46*H25</f>
        <v>87</v>
      </c>
      <c r="E46" s="53">
        <f t="shared" si="7"/>
        <v>1044</v>
      </c>
      <c r="F46" s="43"/>
      <c r="G46" s="46" t="s">
        <v>33</v>
      </c>
      <c r="H46" s="48"/>
      <c r="I46" s="48"/>
    </row>
    <row r="47" spans="1:26" x14ac:dyDescent="0.25">
      <c r="A47" s="10"/>
      <c r="B47" s="56" t="s">
        <v>115</v>
      </c>
      <c r="C47" s="56"/>
      <c r="D47" s="58">
        <f>SUM(D40:D46)</f>
        <v>1199.0644743888888</v>
      </c>
      <c r="E47" s="58">
        <f>SUM(E40:E46)</f>
        <v>14388.773692666666</v>
      </c>
      <c r="F47" s="43"/>
      <c r="G47" s="56" t="s">
        <v>87</v>
      </c>
      <c r="H47" s="66"/>
      <c r="I47" s="58">
        <f>(D34-68000)/27.5</f>
        <v>11745.454545454546</v>
      </c>
    </row>
    <row r="48" spans="1:26" x14ac:dyDescent="0.25">
      <c r="A48" s="10"/>
      <c r="B48" s="10"/>
      <c r="C48" s="10"/>
      <c r="D48" s="17"/>
      <c r="E48" s="16"/>
      <c r="F48" s="43"/>
      <c r="G48" s="10"/>
      <c r="H48" s="10"/>
      <c r="I48" s="10"/>
    </row>
    <row r="49" spans="1:25" x14ac:dyDescent="0.25">
      <c r="A49" s="10"/>
      <c r="B49" s="44"/>
      <c r="C49" s="10"/>
      <c r="D49" s="55"/>
      <c r="E49" s="54"/>
      <c r="F49" s="43"/>
      <c r="G49" s="10"/>
      <c r="H49" s="10"/>
      <c r="I49" s="10"/>
    </row>
    <row r="50" spans="1:25" x14ac:dyDescent="0.25">
      <c r="A50" s="10"/>
      <c r="B50" s="18" t="s">
        <v>69</v>
      </c>
      <c r="C50" s="18"/>
      <c r="D50" s="17"/>
      <c r="E50" s="16"/>
      <c r="F50" s="10"/>
      <c r="G50" s="10"/>
      <c r="H50" s="10"/>
      <c r="I50" s="10"/>
    </row>
    <row r="51" spans="1:25" ht="67.5" customHeight="1" x14ac:dyDescent="0.25">
      <c r="A51" s="10"/>
      <c r="B51" s="111" t="s">
        <v>70</v>
      </c>
      <c r="C51" s="111"/>
      <c r="D51" s="111"/>
      <c r="E51" s="111"/>
      <c r="F51" s="111"/>
      <c r="G51" s="111"/>
      <c r="H51" s="111"/>
      <c r="I51" s="111"/>
    </row>
    <row r="52" spans="1:25" ht="18" x14ac:dyDescent="0.25">
      <c r="A52" s="10"/>
      <c r="B52" s="110" t="s">
        <v>71</v>
      </c>
      <c r="C52" s="110"/>
      <c r="D52" s="110"/>
      <c r="E52" s="110"/>
      <c r="F52" s="110"/>
      <c r="G52" s="110"/>
      <c r="H52" s="110"/>
      <c r="I52" s="110"/>
    </row>
    <row r="53" spans="1:25" x14ac:dyDescent="0.25">
      <c r="B53" s="10"/>
      <c r="C53" s="10"/>
      <c r="D53" s="17"/>
      <c r="E53" s="16"/>
      <c r="F53" s="43"/>
    </row>
    <row r="54" spans="1:25" ht="18" x14ac:dyDescent="0.25">
      <c r="B54" s="10"/>
      <c r="C54" s="10"/>
      <c r="D54" s="17"/>
      <c r="E54" s="16"/>
      <c r="F54" s="43"/>
      <c r="G54" s="75"/>
      <c r="H54" s="76"/>
      <c r="I54" s="76"/>
    </row>
    <row r="56" spans="1:25" x14ac:dyDescent="0.25">
      <c r="B56" s="10"/>
      <c r="C56" s="10"/>
      <c r="D56" s="17"/>
      <c r="E56" s="16"/>
      <c r="F56" s="43"/>
      <c r="G56" s="56"/>
      <c r="H56" s="68"/>
      <c r="I56" s="58"/>
    </row>
    <row r="59" spans="1:25" s="10" customFormat="1" ht="18" x14ac:dyDescent="0.25">
      <c r="B59" s="29"/>
      <c r="C59" s="29"/>
      <c r="D59" s="29"/>
      <c r="E59" s="29"/>
      <c r="F59" s="29"/>
      <c r="G59" s="29"/>
      <c r="H59" s="29"/>
      <c r="I59" s="29"/>
      <c r="L59" s="42"/>
      <c r="M59" s="42"/>
      <c r="N59" s="42"/>
      <c r="O59" s="42"/>
      <c r="P59" s="42"/>
      <c r="Q59" s="42"/>
      <c r="R59" s="42"/>
      <c r="S59" s="42"/>
      <c r="T59" s="42"/>
      <c r="U59" s="42"/>
      <c r="V59" s="42"/>
      <c r="W59" s="42"/>
      <c r="X59" s="42"/>
      <c r="Y59" s="42"/>
    </row>
    <row r="62" spans="1:25" x14ac:dyDescent="0.25">
      <c r="F62" s="10"/>
    </row>
    <row r="63" spans="1:25" x14ac:dyDescent="0.25">
      <c r="F63" s="10"/>
    </row>
    <row r="64" spans="1:25" x14ac:dyDescent="0.25">
      <c r="F64" s="10"/>
    </row>
    <row r="65" spans="6:6" x14ac:dyDescent="0.25">
      <c r="F65" s="10"/>
    </row>
    <row r="66" spans="6:6" x14ac:dyDescent="0.25">
      <c r="F66" s="10"/>
    </row>
    <row r="67" spans="6:6" x14ac:dyDescent="0.25">
      <c r="F67" s="10"/>
    </row>
    <row r="68" spans="6:6" x14ac:dyDescent="0.25">
      <c r="F68" s="10"/>
    </row>
    <row r="69" spans="6:6" x14ac:dyDescent="0.25">
      <c r="F69" s="10"/>
    </row>
    <row r="70" spans="6:6" x14ac:dyDescent="0.25">
      <c r="F70" s="10"/>
    </row>
  </sheetData>
  <sheetProtection selectLockedCells="1"/>
  <mergeCells count="6">
    <mergeCell ref="B52:I52"/>
    <mergeCell ref="B51:I51"/>
    <mergeCell ref="B1:I1"/>
    <mergeCell ref="B2:I2"/>
    <mergeCell ref="B3:I3"/>
    <mergeCell ref="B4:I4"/>
  </mergeCells>
  <pageMargins left="0.7" right="0.7" top="0.75" bottom="0.75" header="0.3" footer="0.3"/>
  <pageSetup scale="57"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1CE52F9-849F-4877-862B-E89AD503665D}">
          <x14:formula1>
            <xm:f>DAta!$A$2:$A$23</xm:f>
          </x14:formula1>
          <xm:sqref>C35</xm:sqref>
        </x14:dataValidation>
        <x14:dataValidation type="list" allowBlank="1" showInputMessage="1" showErrorMessage="1" xr:uid="{2EBFBCE8-408A-48C7-BDFC-C7A94A1285AF}">
          <x14:formula1>
            <xm:f>DAta!$C$2:$C$11</xm:f>
          </x14:formula1>
          <xm:sqref>C45</xm:sqref>
        </x14:dataValidation>
        <x14:dataValidation type="list" allowBlank="1" showInputMessage="1" showErrorMessage="1" xr:uid="{BC5487F1-78A2-459D-971F-444D282CD1D6}">
          <x14:formula1>
            <xm:f>DAta!$E$2:$E$11</xm:f>
          </x14:formula1>
          <xm:sqref>C46</xm:sqref>
        </x14:dataValidation>
        <x14:dataValidation type="list" allowBlank="1" showInputMessage="1" showErrorMessage="1" xr:uid="{11CFB7E3-980A-48DA-8336-D10841795B4D}">
          <x14:formula1>
            <xm:f>DAta!$H$2:$H$31</xm:f>
          </x14:formula1>
          <xm:sqref>H32</xm:sqref>
        </x14:dataValidation>
        <x14:dataValidation type="list" allowBlank="1" showInputMessage="1" showErrorMessage="1" xr:uid="{9F8A9939-6349-4075-BCB8-776EC7955801}">
          <x14:formula1>
            <xm:f>DAta!$F$2:$F$12</xm:f>
          </x14:formula1>
          <xm:sqref>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C46E9-F5B9-4682-AB87-CC6FBA180BA8}">
  <sheetPr codeName="Sheet1">
    <pageSetUpPr fitToPage="1"/>
  </sheetPr>
  <dimension ref="A1:AA68"/>
  <sheetViews>
    <sheetView zoomScale="85" zoomScaleNormal="85" workbookViewId="0">
      <selection activeCell="AA22" sqref="AA22"/>
    </sheetView>
  </sheetViews>
  <sheetFormatPr defaultRowHeight="15" x14ac:dyDescent="0.25"/>
  <cols>
    <col min="1" max="1" width="3.42578125" customWidth="1"/>
    <col min="2" max="2" width="45" customWidth="1"/>
    <col min="3" max="3" width="9" customWidth="1"/>
    <col min="4" max="4" width="12.7109375" style="8" customWidth="1"/>
    <col min="5" max="5" width="13.140625" style="9" customWidth="1"/>
    <col min="6" max="6" width="5" customWidth="1"/>
    <col min="7" max="7" width="46.7109375" customWidth="1"/>
    <col min="8" max="8" width="14.140625" bestFit="1" customWidth="1"/>
    <col min="9" max="9" width="13.140625" customWidth="1"/>
    <col min="10" max="10" width="13.42578125" bestFit="1" customWidth="1"/>
    <col min="12" max="12" width="9" style="30" customWidth="1"/>
    <col min="13" max="13" width="9.28515625" style="30" hidden="1" customWidth="1"/>
    <col min="14" max="14" width="20.28515625" style="30" hidden="1" customWidth="1"/>
    <col min="15" max="15" width="20.85546875" style="30" hidden="1" customWidth="1"/>
    <col min="16" max="16" width="26.28515625" style="30" hidden="1" customWidth="1"/>
    <col min="17" max="17" width="19.28515625" style="30" hidden="1" customWidth="1"/>
    <col min="18" max="18" width="9.5703125" style="30" hidden="1" customWidth="1"/>
    <col min="19" max="19" width="12.7109375" style="30" hidden="1" customWidth="1"/>
    <col min="20" max="20" width="12.5703125" style="30" hidden="1" customWidth="1"/>
    <col min="21" max="21" width="17.5703125" style="30" hidden="1" customWidth="1"/>
    <col min="22" max="22" width="16.42578125" style="30" hidden="1" customWidth="1"/>
    <col min="23" max="23" width="24.140625" style="30" hidden="1" customWidth="1"/>
    <col min="24" max="24" width="13.5703125" style="30" hidden="1" customWidth="1"/>
    <col min="25" max="25" width="12.42578125" style="30" hidden="1" customWidth="1"/>
    <col min="26" max="26" width="20.5703125" hidden="1" customWidth="1"/>
    <col min="27" max="27" width="13.42578125" bestFit="1" customWidth="1"/>
  </cols>
  <sheetData>
    <row r="1" spans="1:26" x14ac:dyDescent="0.25">
      <c r="A1" s="10"/>
      <c r="B1" s="112"/>
      <c r="C1" s="112"/>
      <c r="D1" s="112"/>
      <c r="E1" s="112"/>
      <c r="F1" s="112"/>
      <c r="G1" s="112"/>
      <c r="H1" s="112"/>
      <c r="I1" s="112"/>
    </row>
    <row r="2" spans="1:26" x14ac:dyDescent="0.25">
      <c r="A2" s="10"/>
      <c r="B2" s="112"/>
      <c r="C2" s="112"/>
      <c r="D2" s="112"/>
      <c r="E2" s="112"/>
      <c r="F2" s="112"/>
      <c r="G2" s="112"/>
      <c r="H2" s="112"/>
      <c r="I2" s="112"/>
    </row>
    <row r="3" spans="1:26" ht="23.25" customHeight="1" x14ac:dyDescent="0.25">
      <c r="A3" s="10"/>
      <c r="B3" s="112"/>
      <c r="C3" s="112"/>
      <c r="D3" s="112"/>
      <c r="E3" s="112"/>
      <c r="F3" s="112"/>
      <c r="G3" s="112"/>
      <c r="H3" s="112"/>
      <c r="I3" s="112"/>
    </row>
    <row r="4" spans="1:26" ht="22.5" x14ac:dyDescent="0.3">
      <c r="A4" s="10"/>
      <c r="B4" s="113" t="s">
        <v>139</v>
      </c>
      <c r="C4" s="113"/>
      <c r="D4" s="113"/>
      <c r="E4" s="113"/>
      <c r="F4" s="113"/>
      <c r="G4" s="113"/>
      <c r="H4" s="113"/>
      <c r="I4" s="113"/>
    </row>
    <row r="5" spans="1:26"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120</v>
      </c>
      <c r="Z5" s="33" t="s">
        <v>121</v>
      </c>
    </row>
    <row r="6" spans="1:26" ht="14.25" customHeight="1" x14ac:dyDescent="0.25">
      <c r="A6" s="10"/>
      <c r="B6" s="43"/>
      <c r="C6" s="43"/>
      <c r="D6" s="44"/>
      <c r="E6" s="45"/>
      <c r="F6" s="43"/>
      <c r="G6" s="43"/>
      <c r="H6" s="43"/>
      <c r="I6" s="43"/>
      <c r="M6" s="30">
        <v>0</v>
      </c>
      <c r="X6" s="34">
        <f>-D38</f>
        <v>-128890.42470170549</v>
      </c>
      <c r="Z6" s="70">
        <f>SUM(X6:Y6)</f>
        <v>-128890.42470170549</v>
      </c>
    </row>
    <row r="7" spans="1:26" ht="14.25" customHeight="1" x14ac:dyDescent="0.25">
      <c r="A7" s="10"/>
      <c r="B7" s="43"/>
      <c r="C7" s="43"/>
      <c r="D7" s="44"/>
      <c r="E7" s="45"/>
      <c r="F7" s="43"/>
      <c r="G7" s="43"/>
      <c r="H7" s="43"/>
      <c r="I7" s="43"/>
      <c r="M7" s="30">
        <v>1</v>
      </c>
      <c r="N7" s="34">
        <f t="shared" ref="N7:N36" si="0">W7+T7+U7-V7</f>
        <v>-4409.5583304611318</v>
      </c>
      <c r="O7" s="35">
        <f t="shared" ref="O7:O36" si="1">N7/P7/M7</f>
        <v>-3.4211682835759823E-2</v>
      </c>
      <c r="P7" s="36">
        <f>'With Loan'!$D$38</f>
        <v>128890.42470170549</v>
      </c>
      <c r="Q7" s="37">
        <f>'With Loan'!$H$31</f>
        <v>3.5000000000000003E-2</v>
      </c>
      <c r="R7" s="38">
        <f>'With Loan'!$D$24</f>
        <v>391000</v>
      </c>
      <c r="S7" s="38">
        <f>'With Loan'!$D$40</f>
        <v>273700</v>
      </c>
      <c r="T7" s="39">
        <f t="shared" ref="T7:T36" si="2">$R$7*(1+Q7)^M7-$R$7</f>
        <v>13684.999999999942</v>
      </c>
      <c r="U7" s="39">
        <f>S7-_xlfn.XLOOKUP($M7*12,'30% Down Amortization'!$A$4:$A$363,'30% Down Amortization'!$E$4:$E$363,0,0,1)</f>
        <v>5032.7338518005563</v>
      </c>
      <c r="V7" s="39">
        <f>(R7+T7)*'With Loan'!$H$36</f>
        <v>28327.949999999997</v>
      </c>
      <c r="W7" s="36">
        <f>'With Loan'!$I$27*'With Loan'!$M7</f>
        <v>5200.6578177383672</v>
      </c>
      <c r="X7" s="34">
        <f>$I$27</f>
        <v>5200.6578177383672</v>
      </c>
      <c r="Y7" s="80">
        <f>IF($H$32=$M7,R7+T7-V7-_xlfn.XLOOKUP(M7*12,'30% Down Amortization'!$A$4:$A$363,'30% Down Amortization'!$E$4:$E$363,0,0,1),0)</f>
        <v>0</v>
      </c>
      <c r="Z7" s="70">
        <f t="shared" ref="Z7:Z36" si="3">IF($H$32&gt;=M7,SUM(X7:Y7),0)</f>
        <v>5200.6578177383672</v>
      </c>
    </row>
    <row r="8" spans="1:26" ht="14.25" customHeight="1" x14ac:dyDescent="0.25">
      <c r="A8" s="10"/>
      <c r="B8" s="43"/>
      <c r="C8" s="43"/>
      <c r="D8" s="44"/>
      <c r="E8" s="45"/>
      <c r="F8" s="43"/>
      <c r="G8" s="43"/>
      <c r="H8" s="43"/>
      <c r="I8" s="43"/>
      <c r="M8" s="30">
        <v>2</v>
      </c>
      <c r="N8" s="34">
        <f t="shared" si="0"/>
        <v>19188.335390639379</v>
      </c>
      <c r="O8" s="35">
        <f t="shared" si="1"/>
        <v>7.4436621009851781E-2</v>
      </c>
      <c r="P8" s="36">
        <f>'With Loan'!$D$38</f>
        <v>128890.42470170549</v>
      </c>
      <c r="Q8" s="37">
        <f>'With Loan'!$H$31</f>
        <v>3.5000000000000003E-2</v>
      </c>
      <c r="R8" s="38">
        <f>'With Loan'!$D$24</f>
        <v>391000</v>
      </c>
      <c r="S8" s="38">
        <f>'With Loan'!$D$40</f>
        <v>273700</v>
      </c>
      <c r="T8" s="39">
        <f t="shared" si="2"/>
        <v>27848.974999999977</v>
      </c>
      <c r="U8" s="39">
        <f>S8-_xlfn.XLOOKUP($M8*12,'30% Down Amortization'!$A$4:$A$363,'30% Down Amortization'!$E$4:$E$363,0,0,1)</f>
        <v>10257.473005162668</v>
      </c>
      <c r="V8" s="39">
        <f>(R8+T8)*'With Loan'!$H$36</f>
        <v>29319.428250000001</v>
      </c>
      <c r="W8" s="36">
        <f>'With Loan'!$I$27*'With Loan'!$M8</f>
        <v>10401.315635476734</v>
      </c>
      <c r="X8" s="34">
        <f t="shared" ref="X8:X36" si="4">$I$27</f>
        <v>5200.6578177383672</v>
      </c>
      <c r="Y8" s="80">
        <f>IF($H$32=$M8,R8+T8-V8-_xlfn.XLOOKUP(M8*12,'30% Down Amortization'!$A$4:$A$363,'30% Down Amortization'!$E$4:$E$363,0,0,1),0)</f>
        <v>0</v>
      </c>
      <c r="Z8" s="70">
        <f t="shared" si="3"/>
        <v>5200.6578177383672</v>
      </c>
    </row>
    <row r="9" spans="1:26" ht="14.25" customHeight="1" x14ac:dyDescent="0.25">
      <c r="A9" s="10"/>
      <c r="B9" s="43"/>
      <c r="C9" s="43"/>
      <c r="D9" s="44"/>
      <c r="E9" s="45"/>
      <c r="F9" s="43"/>
      <c r="G9" s="43"/>
      <c r="H9" s="43"/>
      <c r="I9" s="43"/>
      <c r="M9" s="30">
        <v>3</v>
      </c>
      <c r="N9" s="34">
        <f t="shared" si="0"/>
        <v>43446.597049984426</v>
      </c>
      <c r="O9" s="35">
        <f t="shared" si="1"/>
        <v>0.11236055005775651</v>
      </c>
      <c r="P9" s="36">
        <f>'With Loan'!$D$38</f>
        <v>128890.42470170549</v>
      </c>
      <c r="Q9" s="37">
        <f>'With Loan'!$H$31</f>
        <v>3.5000000000000003E-2</v>
      </c>
      <c r="R9" s="38">
        <f>'With Loan'!$D$24</f>
        <v>391000</v>
      </c>
      <c r="S9" s="38">
        <f>'With Loan'!$D$40</f>
        <v>273700</v>
      </c>
      <c r="T9" s="39">
        <f t="shared" si="2"/>
        <v>42508.689124999917</v>
      </c>
      <c r="U9" s="39">
        <f>S9-_xlfn.XLOOKUP($M9*12,'30% Down Amortization'!$A$4:$A$363,'30% Down Amortization'!$E$4:$E$363,0,0,1)</f>
        <v>15681.542710519396</v>
      </c>
      <c r="V9" s="39">
        <f>(R9+T9)*'With Loan'!$H$36</f>
        <v>30345.608238749996</v>
      </c>
      <c r="W9" s="36">
        <f>'With Loan'!$I$27*'With Loan'!$M9</f>
        <v>15601.973453215101</v>
      </c>
      <c r="X9" s="34">
        <f t="shared" si="4"/>
        <v>5200.6578177383672</v>
      </c>
      <c r="Y9" s="80">
        <f>IF($H$32=$M9,R9+T9-V9-_xlfn.XLOOKUP(M9*12,'30% Down Amortization'!$A$4:$A$363,'30% Down Amortization'!$E$4:$E$363,0,0,1),0)</f>
        <v>0</v>
      </c>
      <c r="Z9" s="70">
        <f t="shared" si="3"/>
        <v>5200.6578177383672</v>
      </c>
    </row>
    <row r="10" spans="1:26" ht="14.25" customHeight="1" x14ac:dyDescent="0.25">
      <c r="A10" s="10"/>
      <c r="B10" s="43"/>
      <c r="C10" s="43"/>
      <c r="D10" s="44"/>
      <c r="E10" s="45"/>
      <c r="F10" s="43"/>
      <c r="G10" s="43"/>
      <c r="H10" s="43"/>
      <c r="I10" s="43"/>
      <c r="M10" s="30">
        <v>4</v>
      </c>
      <c r="N10" s="34">
        <f t="shared" si="0"/>
        <v>68388.967674298299</v>
      </c>
      <c r="O10" s="35">
        <f t="shared" si="1"/>
        <v>0.13264943426281023</v>
      </c>
      <c r="P10" s="36">
        <f>'With Loan'!$D$38</f>
        <v>128890.42470170549</v>
      </c>
      <c r="Q10" s="37">
        <f>'With Loan'!$H$31</f>
        <v>3.5000000000000003E-2</v>
      </c>
      <c r="R10" s="38">
        <f>'With Loan'!$D$24</f>
        <v>391000</v>
      </c>
      <c r="S10" s="38">
        <f>'With Loan'!$D$40</f>
        <v>273700</v>
      </c>
      <c r="T10" s="39">
        <f t="shared" si="2"/>
        <v>57681.493244374869</v>
      </c>
      <c r="U10" s="39">
        <f>S10-_xlfn.XLOOKUP($M10*12,'30% Down Amortization'!$A$4:$A$363,'30% Down Amortization'!$E$4:$E$363,0,0,1)</f>
        <v>21312.547686076199</v>
      </c>
      <c r="V10" s="39">
        <f>(R10+T10)*'With Loan'!$H$36</f>
        <v>31407.704527106245</v>
      </c>
      <c r="W10" s="36">
        <f>'With Loan'!$I$27*'With Loan'!$M10</f>
        <v>20802.631270953469</v>
      </c>
      <c r="X10" s="34">
        <f t="shared" si="4"/>
        <v>5200.6578177383672</v>
      </c>
      <c r="Y10" s="80">
        <f>IF($H$32=$M10,R10+T10-V10-_xlfn.XLOOKUP(M10*12,'30% Down Amortization'!$A$4:$A$363,'30% Down Amortization'!$E$4:$E$363,0,0,1),0)</f>
        <v>0</v>
      </c>
      <c r="Z10" s="70">
        <f t="shared" si="3"/>
        <v>5200.6578177383672</v>
      </c>
    </row>
    <row r="11" spans="1:26" ht="14.25" customHeight="1" x14ac:dyDescent="0.25">
      <c r="A11" s="10"/>
      <c r="B11" s="43"/>
      <c r="C11" s="43"/>
      <c r="D11" s="44"/>
      <c r="E11" s="45"/>
      <c r="F11" s="43"/>
      <c r="G11" s="43"/>
      <c r="H11" s="43"/>
      <c r="I11" s="43"/>
      <c r="M11" s="30">
        <v>5</v>
      </c>
      <c r="N11" s="34">
        <f t="shared" si="0"/>
        <v>94040.043190932513</v>
      </c>
      <c r="O11" s="35">
        <f t="shared" si="1"/>
        <v>0.14592246617011601</v>
      </c>
      <c r="P11" s="36">
        <f>'With Loan'!$D$38</f>
        <v>128890.42470170549</v>
      </c>
      <c r="Q11" s="37">
        <f>'With Loan'!$H$31</f>
        <v>3.5000000000000003E-2</v>
      </c>
      <c r="R11" s="38">
        <f>'With Loan'!$D$24</f>
        <v>391000</v>
      </c>
      <c r="S11" s="38">
        <f>'With Loan'!$D$40</f>
        <v>273700</v>
      </c>
      <c r="T11" s="39">
        <f t="shared" si="2"/>
        <v>73385.345507927937</v>
      </c>
      <c r="U11" s="39">
        <f>S11-_xlfn.XLOOKUP($M11*12,'30% Down Amortization'!$A$4:$A$363,'30% Down Amortization'!$E$4:$E$363,0,0,1)</f>
        <v>27158.382779867708</v>
      </c>
      <c r="V11" s="39">
        <f>(R11+T11)*'With Loan'!$H$36</f>
        <v>32506.974185554958</v>
      </c>
      <c r="W11" s="36">
        <f>'With Loan'!$I$27*'With Loan'!$M11</f>
        <v>26003.289088691836</v>
      </c>
      <c r="X11" s="34">
        <f t="shared" si="4"/>
        <v>5200.6578177383672</v>
      </c>
      <c r="Y11" s="80">
        <f>IF($H$32=$M11,R11+T11-V11-_xlfn.XLOOKUP(M11*12,'30% Down Amortization'!$A$4:$A$363,'30% Down Amortization'!$E$4:$E$363,0,0,1),0)</f>
        <v>0</v>
      </c>
      <c r="Z11" s="70">
        <f t="shared" si="3"/>
        <v>5200.6578177383672</v>
      </c>
    </row>
    <row r="12" spans="1:26" ht="14.25" customHeight="1" x14ac:dyDescent="0.25">
      <c r="A12" s="10"/>
      <c r="B12" s="43"/>
      <c r="C12" s="43"/>
      <c r="D12" s="44"/>
      <c r="E12" s="45"/>
      <c r="F12" s="43"/>
      <c r="G12" s="43"/>
      <c r="H12" s="43"/>
      <c r="I12" s="43"/>
      <c r="M12" s="30">
        <v>6</v>
      </c>
      <c r="N12" s="34">
        <f t="shared" si="0"/>
        <v>120425.30526367194</v>
      </c>
      <c r="O12" s="35">
        <f t="shared" si="1"/>
        <v>0.15572052196323014</v>
      </c>
      <c r="P12" s="36">
        <f>'With Loan'!$D$38</f>
        <v>128890.42470170549</v>
      </c>
      <c r="Q12" s="37">
        <f>'With Loan'!$H$31</f>
        <v>3.5000000000000003E-2</v>
      </c>
      <c r="R12" s="38">
        <f>'With Loan'!$D$24</f>
        <v>391000</v>
      </c>
      <c r="S12" s="38">
        <f>'With Loan'!$D$40</f>
        <v>273700</v>
      </c>
      <c r="T12" s="39">
        <f t="shared" si="2"/>
        <v>89638.832600705442</v>
      </c>
      <c r="U12" s="39">
        <f>S12-_xlfn.XLOOKUP($M12*12,'30% Down Amortization'!$A$4:$A$363,'30% Down Amortization'!$E$4:$E$363,0,0,1)</f>
        <v>33227.244038585661</v>
      </c>
      <c r="V12" s="39">
        <f>(R12+T12)*'With Loan'!$H$36</f>
        <v>33644.718282049384</v>
      </c>
      <c r="W12" s="36">
        <f>'With Loan'!$I$27*'With Loan'!$M12</f>
        <v>31203.946906430203</v>
      </c>
      <c r="X12" s="34">
        <f t="shared" si="4"/>
        <v>5200.6578177383672</v>
      </c>
      <c r="Y12" s="80">
        <f>IF($H$32=$M12,R12+T12-V12-_xlfn.XLOOKUP(M12*12,'30% Down Amortization'!$A$4:$A$363,'30% Down Amortization'!$E$4:$E$363,0,0,1),0)</f>
        <v>0</v>
      </c>
      <c r="Z12" s="70">
        <f t="shared" si="3"/>
        <v>5200.6578177383672</v>
      </c>
    </row>
    <row r="13" spans="1:26" ht="14.25" customHeight="1" x14ac:dyDescent="0.25">
      <c r="A13" s="10"/>
      <c r="B13" s="43"/>
      <c r="C13" s="43"/>
      <c r="D13" s="44"/>
      <c r="E13" s="45"/>
      <c r="F13" s="43"/>
      <c r="G13" s="43"/>
      <c r="H13" s="43"/>
      <c r="I13" s="43"/>
      <c r="M13" s="30">
        <v>7</v>
      </c>
      <c r="N13" s="34">
        <f t="shared" si="0"/>
        <v>147571.15324267439</v>
      </c>
      <c r="O13" s="35">
        <f t="shared" si="1"/>
        <v>0.16356213713448262</v>
      </c>
      <c r="P13" s="36">
        <f>'With Loan'!$D$38</f>
        <v>128890.42470170549</v>
      </c>
      <c r="Q13" s="37">
        <f>'With Loan'!$H$31</f>
        <v>3.5000000000000003E-2</v>
      </c>
      <c r="R13" s="38">
        <f>'With Loan'!$D$24</f>
        <v>391000</v>
      </c>
      <c r="S13" s="38">
        <f>'With Loan'!$D$40</f>
        <v>273700</v>
      </c>
      <c r="T13" s="39">
        <f t="shared" si="2"/>
        <v>106461.19174173009</v>
      </c>
      <c r="U13" s="39">
        <f>S13-_xlfn.XLOOKUP($M13*12,'30% Down Amortization'!$A$4:$A$363,'30% Down Amortization'!$E$4:$E$363,0,0,1)</f>
        <v>39527.640198696841</v>
      </c>
      <c r="V13" s="39">
        <f>(R13+T13)*'With Loan'!$H$36</f>
        <v>34822.283421921107</v>
      </c>
      <c r="W13" s="36">
        <f>'With Loan'!$I$27*'With Loan'!$M13</f>
        <v>36404.604724168574</v>
      </c>
      <c r="X13" s="34">
        <f t="shared" si="4"/>
        <v>5200.6578177383672</v>
      </c>
      <c r="Y13" s="80">
        <f>IF($H$32=$M13,R13+T13-V13-_xlfn.XLOOKUP(M13*12,'30% Down Amortization'!$A$4:$A$363,'30% Down Amortization'!$E$4:$E$363,0,0,1),0)</f>
        <v>0</v>
      </c>
      <c r="Z13" s="70">
        <f t="shared" si="3"/>
        <v>5200.6578177383672</v>
      </c>
    </row>
    <row r="14" spans="1:26" ht="14.25" customHeight="1" x14ac:dyDescent="0.25">
      <c r="A14" s="10"/>
      <c r="B14" s="43"/>
      <c r="C14" s="43"/>
      <c r="D14" s="44"/>
      <c r="E14" s="45"/>
      <c r="F14" s="43"/>
      <c r="G14" s="43"/>
      <c r="H14" s="43"/>
      <c r="I14" s="43"/>
      <c r="M14" s="30">
        <v>8</v>
      </c>
      <c r="N14" s="34">
        <f t="shared" si="0"/>
        <v>175504.93726887149</v>
      </c>
      <c r="O14" s="35">
        <f t="shared" si="1"/>
        <v>0.17020750152217204</v>
      </c>
      <c r="P14" s="36">
        <f>'With Loan'!$D$38</f>
        <v>128890.42470170549</v>
      </c>
      <c r="Q14" s="37">
        <f>'With Loan'!$H$31</f>
        <v>3.5000000000000003E-2</v>
      </c>
      <c r="R14" s="38">
        <f>'With Loan'!$D$24</f>
        <v>391000</v>
      </c>
      <c r="S14" s="38">
        <f>'With Loan'!$D$40</f>
        <v>273700</v>
      </c>
      <c r="T14" s="39">
        <f t="shared" si="2"/>
        <v>123872.33345269051</v>
      </c>
      <c r="U14" s="39">
        <f>S14-_xlfn.XLOOKUP($M14*12,'30% Down Amortization'!$A$4:$A$363,'30% Down Amortization'!$E$4:$E$363,0,0,1)</f>
        <v>46068.404615962383</v>
      </c>
      <c r="V14" s="39">
        <f>(R14+T14)*'With Loan'!$H$36</f>
        <v>36041.063341688336</v>
      </c>
      <c r="W14" s="36">
        <f>'With Loan'!$I$27*'With Loan'!$M14</f>
        <v>41605.262541906937</v>
      </c>
      <c r="X14" s="34">
        <f t="shared" si="4"/>
        <v>5200.6578177383672</v>
      </c>
      <c r="Y14" s="80">
        <f>IF($H$32=$M14,R14+T14-V14-_xlfn.XLOOKUP(M14*12,'30% Down Amortization'!$A$4:$A$363,'30% Down Amortization'!$E$4:$E$363,0,0,1),0)</f>
        <v>0</v>
      </c>
      <c r="Z14" s="70">
        <f t="shared" si="3"/>
        <v>5200.6578177383672</v>
      </c>
    </row>
    <row r="15" spans="1:26" ht="14.25" customHeight="1" x14ac:dyDescent="0.25">
      <c r="A15" s="10"/>
      <c r="B15" s="43"/>
      <c r="C15" s="43"/>
      <c r="D15" s="44"/>
      <c r="E15" s="45"/>
      <c r="F15" s="43"/>
      <c r="G15" s="43"/>
      <c r="H15" s="43"/>
      <c r="I15" s="43"/>
      <c r="M15" s="30">
        <v>9</v>
      </c>
      <c r="N15" s="34">
        <f t="shared" si="0"/>
        <v>204254.99257461581</v>
      </c>
      <c r="O15" s="35">
        <f t="shared" si="1"/>
        <v>0.17607979202086538</v>
      </c>
      <c r="P15" s="36">
        <f>'With Loan'!$D$38</f>
        <v>128890.42470170549</v>
      </c>
      <c r="Q15" s="37">
        <f>'With Loan'!$H$31</f>
        <v>3.5000000000000003E-2</v>
      </c>
      <c r="R15" s="38">
        <f>'With Loan'!$D$24</f>
        <v>391000</v>
      </c>
      <c r="S15" s="38">
        <f>'With Loan'!$D$40</f>
        <v>273700</v>
      </c>
      <c r="T15" s="39">
        <f t="shared" si="2"/>
        <v>141892.86512353458</v>
      </c>
      <c r="U15" s="39">
        <f>S15-_xlfn.XLOOKUP($M15*12,'30% Down Amortization'!$A$4:$A$363,'30% Down Amortization'!$E$4:$E$363,0,0,1)</f>
        <v>52858.70765008335</v>
      </c>
      <c r="V15" s="39">
        <f>(R15+T15)*'With Loan'!$H$36</f>
        <v>37302.500558647422</v>
      </c>
      <c r="W15" s="36">
        <f>'With Loan'!$I$27*'With Loan'!$M15</f>
        <v>46805.920359645301</v>
      </c>
      <c r="X15" s="34">
        <f t="shared" si="4"/>
        <v>5200.6578177383672</v>
      </c>
      <c r="Y15" s="80">
        <f>IF($H$32=$M15,R15+T15-V15-_xlfn.XLOOKUP(M15*12,'30% Down Amortization'!$A$4:$A$363,'30% Down Amortization'!$E$4:$E$363,0,0,1),0)</f>
        <v>0</v>
      </c>
      <c r="Z15" s="70">
        <f t="shared" si="3"/>
        <v>5200.6578177383672</v>
      </c>
    </row>
    <row r="16" spans="1:26" ht="14.25" customHeight="1" x14ac:dyDescent="0.25">
      <c r="A16" s="10"/>
      <c r="B16" s="43"/>
      <c r="C16" s="43"/>
      <c r="D16" s="44"/>
      <c r="E16" s="45"/>
      <c r="F16" s="43"/>
      <c r="G16" s="43"/>
      <c r="H16" s="43"/>
      <c r="I16" s="43"/>
      <c r="M16" s="30">
        <v>10</v>
      </c>
      <c r="N16" s="34">
        <f t="shared" si="0"/>
        <v>233850.6750238786</v>
      </c>
      <c r="O16" s="35">
        <f t="shared" si="1"/>
        <v>0.18143370662722649</v>
      </c>
      <c r="P16" s="36">
        <f>'With Loan'!$D$38</f>
        <v>128890.42470170549</v>
      </c>
      <c r="Q16" s="37">
        <f>'With Loan'!$H$31</f>
        <v>3.5000000000000003E-2</v>
      </c>
      <c r="R16" s="38">
        <f>'With Loan'!$D$24</f>
        <v>391000</v>
      </c>
      <c r="S16" s="38">
        <f>'With Loan'!$D$40</f>
        <v>273700</v>
      </c>
      <c r="T16" s="39">
        <f t="shared" si="2"/>
        <v>160544.11540285836</v>
      </c>
      <c r="U16" s="39">
        <f>S16-_xlfn.XLOOKUP($M16*12,'30% Down Amortization'!$A$4:$A$363,'30% Down Amortization'!$E$4:$E$363,0,0,1)</f>
        <v>59908.069521836675</v>
      </c>
      <c r="V16" s="39">
        <f>(R16+T16)*'With Loan'!$H$36</f>
        <v>38608.08807820009</v>
      </c>
      <c r="W16" s="36">
        <f>'With Loan'!$I$27*'With Loan'!$M16</f>
        <v>52006.578177383672</v>
      </c>
      <c r="X16" s="34">
        <f t="shared" si="4"/>
        <v>5200.6578177383672</v>
      </c>
      <c r="Y16" s="80">
        <f>IF($H$32=$M16,R16+T16-V16-_xlfn.XLOOKUP(M16*12,'30% Down Amortization'!$A$4:$A$363,'30% Down Amortization'!$E$4:$E$363,0,0,1),0)</f>
        <v>0</v>
      </c>
      <c r="Z16" s="70">
        <f t="shared" si="3"/>
        <v>5200.6578177383672</v>
      </c>
    </row>
    <row r="17" spans="1:27" ht="14.25" customHeight="1" x14ac:dyDescent="0.25">
      <c r="A17" s="10"/>
      <c r="B17" s="43"/>
      <c r="C17" s="43"/>
      <c r="D17" s="44"/>
      <c r="E17" s="45"/>
      <c r="F17" s="43"/>
      <c r="G17" s="43"/>
      <c r="H17" s="43"/>
      <c r="I17" s="43"/>
      <c r="M17" s="30">
        <v>11</v>
      </c>
      <c r="N17" s="34">
        <f t="shared" si="0"/>
        <v>264322.39793687069</v>
      </c>
      <c r="O17" s="35">
        <f t="shared" si="1"/>
        <v>0.18643207173041398</v>
      </c>
      <c r="P17" s="36">
        <f>'With Loan'!$D$38</f>
        <v>128890.42470170549</v>
      </c>
      <c r="Q17" s="37">
        <f>'With Loan'!$H$31</f>
        <v>3.5000000000000003E-2</v>
      </c>
      <c r="R17" s="38">
        <f>'With Loan'!$D$24</f>
        <v>391000</v>
      </c>
      <c r="S17" s="38">
        <f>'With Loan'!$D$40</f>
        <v>273700</v>
      </c>
      <c r="T17" s="39">
        <f t="shared" si="2"/>
        <v>179848.15944195841</v>
      </c>
      <c r="U17" s="39">
        <f>S17-_xlfn.XLOOKUP($M17*12,'30% Down Amortization'!$A$4:$A$363,'30% Down Amortization'!$E$4:$E$363,0,0,1)</f>
        <v>67226.373660727317</v>
      </c>
      <c r="V17" s="39">
        <f>(R17+T17)*'With Loan'!$H$36</f>
        <v>39959.371160937095</v>
      </c>
      <c r="W17" s="36">
        <f>'With Loan'!$I$27*'With Loan'!$M17</f>
        <v>57207.235995122042</v>
      </c>
      <c r="X17" s="34">
        <f t="shared" si="4"/>
        <v>5200.6578177383672</v>
      </c>
      <c r="Y17" s="80">
        <f>IF($H$32=$M17,R17+T17-V17-_xlfn.XLOOKUP(M17*12,'30% Down Amortization'!$A$4:$A$363,'30% Down Amortization'!$E$4:$E$363,0,0,1),0)</f>
        <v>0</v>
      </c>
      <c r="Z17" s="70">
        <f t="shared" si="3"/>
        <v>5200.6578177383672</v>
      </c>
    </row>
    <row r="18" spans="1:27" ht="14.25" customHeight="1" x14ac:dyDescent="0.25">
      <c r="A18" s="10"/>
      <c r="B18" s="43"/>
      <c r="C18" s="43"/>
      <c r="D18" s="44"/>
      <c r="E18" s="45"/>
      <c r="F18" s="43"/>
      <c r="G18" s="43"/>
      <c r="H18" s="43"/>
      <c r="I18" s="43"/>
      <c r="M18" s="30">
        <v>12</v>
      </c>
      <c r="N18" s="34">
        <f t="shared" si="0"/>
        <v>295701.67024558841</v>
      </c>
      <c r="O18" s="35">
        <f t="shared" si="1"/>
        <v>0.19118414661778185</v>
      </c>
      <c r="P18" s="36">
        <f>'With Loan'!$D$38</f>
        <v>128890.42470170549</v>
      </c>
      <c r="Q18" s="37">
        <f>'With Loan'!$H$31</f>
        <v>3.5000000000000003E-2</v>
      </c>
      <c r="R18" s="38">
        <f>'With Loan'!$D$24</f>
        <v>391000</v>
      </c>
      <c r="S18" s="38">
        <f>'With Loan'!$D$40</f>
        <v>273700</v>
      </c>
      <c r="T18" s="39">
        <f t="shared" si="2"/>
        <v>199827.84502242692</v>
      </c>
      <c r="U18" s="39">
        <f>S18-_xlfn.XLOOKUP($M18*12,'30% Down Amortization'!$A$4:$A$363,'30% Down Amortization'!$E$4:$E$363,0,0,1)</f>
        <v>74823.88056187093</v>
      </c>
      <c r="V18" s="39">
        <f>(R18+T18)*'With Loan'!$H$36</f>
        <v>41357.94915156989</v>
      </c>
      <c r="W18" s="36">
        <f>'With Loan'!$I$27*'With Loan'!$M18</f>
        <v>62407.893812860406</v>
      </c>
      <c r="X18" s="34">
        <f t="shared" si="4"/>
        <v>5200.6578177383672</v>
      </c>
      <c r="Y18" s="80">
        <f>IF($H$32=$M18,R18+T18-V18-_xlfn.XLOOKUP(M18*12,'30% Down Amortization'!$A$4:$A$363,'30% Down Amortization'!$E$4:$E$363,0,0,1),0)</f>
        <v>0</v>
      </c>
      <c r="Z18" s="70">
        <f t="shared" si="3"/>
        <v>5200.6578177383672</v>
      </c>
    </row>
    <row r="19" spans="1:27" ht="14.25" customHeight="1" x14ac:dyDescent="0.25">
      <c r="A19" s="10"/>
      <c r="B19" s="43"/>
      <c r="C19" s="43"/>
      <c r="D19" s="44"/>
      <c r="E19" s="45"/>
      <c r="F19" s="43"/>
      <c r="G19" s="43"/>
      <c r="H19" s="43"/>
      <c r="I19" s="43"/>
      <c r="M19" s="30">
        <v>13</v>
      </c>
      <c r="N19" s="34">
        <f t="shared" si="0"/>
        <v>328021.13602846966</v>
      </c>
      <c r="O19" s="35">
        <f t="shared" si="1"/>
        <v>0.19576624980101545</v>
      </c>
      <c r="P19" s="36">
        <f>'With Loan'!$D$38</f>
        <v>128890.42470170549</v>
      </c>
      <c r="Q19" s="37">
        <f>'With Loan'!$H$31</f>
        <v>3.5000000000000003E-2</v>
      </c>
      <c r="R19" s="38">
        <f>'With Loan'!$D$24</f>
        <v>391000</v>
      </c>
      <c r="S19" s="38">
        <f>'With Loan'!$D$40</f>
        <v>273700</v>
      </c>
      <c r="T19" s="39">
        <f t="shared" si="2"/>
        <v>220506.81959821167</v>
      </c>
      <c r="U19" s="39">
        <f>S19-_xlfn.XLOOKUP($M19*12,'30% Down Amortization'!$A$4:$A$363,'30% Down Amortization'!$E$4:$E$363,0,0,1)</f>
        <v>82711.242171534017</v>
      </c>
      <c r="V19" s="39">
        <f>(R19+T19)*'With Loan'!$H$36</f>
        <v>42805.477371874818</v>
      </c>
      <c r="W19" s="36">
        <f>'With Loan'!$I$27*'With Loan'!$M19</f>
        <v>67608.551630598769</v>
      </c>
      <c r="X19" s="34">
        <f t="shared" si="4"/>
        <v>5200.6578177383672</v>
      </c>
      <c r="Y19" s="80">
        <f>IF($H$32=$M19,R19+T19-V19-_xlfn.XLOOKUP(M19*12,'30% Down Amortization'!$A$4:$A$363,'30% Down Amortization'!$E$4:$E$363,0,0,1),0)</f>
        <v>0</v>
      </c>
      <c r="Z19" s="70">
        <f t="shared" si="3"/>
        <v>5200.6578177383672</v>
      </c>
    </row>
    <row r="20" spans="1:27" ht="14.25" customHeight="1" x14ac:dyDescent="0.25">
      <c r="A20" s="10"/>
      <c r="B20" s="43"/>
      <c r="C20" s="43"/>
      <c r="D20" s="44"/>
      <c r="E20" s="45"/>
      <c r="F20" s="43"/>
      <c r="G20" s="43"/>
      <c r="H20" s="43"/>
      <c r="I20" s="43"/>
      <c r="M20" s="30">
        <v>14</v>
      </c>
      <c r="N20" s="34">
        <f t="shared" si="0"/>
        <v>361314.61547409731</v>
      </c>
      <c r="O20" s="35">
        <f t="shared" si="1"/>
        <v>0.20023354628015966</v>
      </c>
      <c r="P20" s="36">
        <f>'With Loan'!$D$38</f>
        <v>128890.42470170549</v>
      </c>
      <c r="Q20" s="37">
        <f>'With Loan'!$H$31</f>
        <v>3.5000000000000003E-2</v>
      </c>
      <c r="R20" s="38">
        <f>'With Loan'!$D$24</f>
        <v>391000</v>
      </c>
      <c r="S20" s="38">
        <f>'With Loan'!$D$40</f>
        <v>273700</v>
      </c>
      <c r="T20" s="39">
        <f t="shared" si="2"/>
        <v>241909.55828414916</v>
      </c>
      <c r="U20" s="39">
        <f>S20-_xlfn.XLOOKUP($M20*12,'30% Down Amortization'!$A$4:$A$363,'30% Down Amortization'!$E$4:$E$363,0,0,1)</f>
        <v>90899.516821501456</v>
      </c>
      <c r="V20" s="39">
        <f>(R20+T20)*'With Loan'!$H$36</f>
        <v>44303.669079890446</v>
      </c>
      <c r="W20" s="36">
        <f>'With Loan'!$I$27*'With Loan'!$M20</f>
        <v>72809.209448337147</v>
      </c>
      <c r="X20" s="34">
        <f t="shared" si="4"/>
        <v>5200.6578177383672</v>
      </c>
      <c r="Y20" s="80">
        <f>IF($H$32=$M20,R20+T20-V20-_xlfn.XLOOKUP(M20*12,'30% Down Amortization'!$A$4:$A$363,'30% Down Amortization'!$E$4:$E$363,0,0,1),0)</f>
        <v>0</v>
      </c>
      <c r="Z20" s="70">
        <f t="shared" si="3"/>
        <v>5200.6578177383672</v>
      </c>
    </row>
    <row r="21" spans="1:27" ht="14.25" customHeight="1" x14ac:dyDescent="0.25">
      <c r="A21" s="10"/>
      <c r="B21" s="43"/>
      <c r="C21" s="43"/>
      <c r="D21" s="44"/>
      <c r="E21" s="45"/>
      <c r="F21" s="43"/>
      <c r="G21" s="43"/>
      <c r="H21" s="43"/>
      <c r="I21" s="43"/>
      <c r="M21" s="40">
        <v>15</v>
      </c>
      <c r="N21" s="34">
        <f t="shared" si="0"/>
        <v>395617.14732569247</v>
      </c>
      <c r="O21" s="35">
        <f t="shared" si="1"/>
        <v>0.20462712066795222</v>
      </c>
      <c r="P21" s="36">
        <f>'With Loan'!$D$38</f>
        <v>128890.42470170549</v>
      </c>
      <c r="Q21" s="37">
        <f>'With Loan'!$H$31</f>
        <v>3.5000000000000003E-2</v>
      </c>
      <c r="R21" s="38">
        <f>'With Loan'!$D$24</f>
        <v>391000</v>
      </c>
      <c r="S21" s="38">
        <f>'With Loan'!$D$40</f>
        <v>273700</v>
      </c>
      <c r="T21" s="41">
        <f t="shared" si="2"/>
        <v>264061.39282409428</v>
      </c>
      <c r="U21" s="41">
        <f>S21-_xlfn.XLOOKUP($M21*12,'30% Down Amortization'!$A$4:$A$363,'30% Down Amortization'!$E$4:$E$363,0,0,1)</f>
        <v>99400.184733209288</v>
      </c>
      <c r="V21" s="39">
        <f>(R21+T21)*'With Loan'!$H$36</f>
        <v>45854.297497686603</v>
      </c>
      <c r="W21" s="36">
        <f>'With Loan'!$I$27*'With Loan'!$M21</f>
        <v>78009.867266075511</v>
      </c>
      <c r="X21" s="34">
        <f t="shared" si="4"/>
        <v>5200.6578177383672</v>
      </c>
      <c r="Y21" s="80">
        <f>IF($H$32=$M21,R21+T21-V21-_xlfn.XLOOKUP(M21*12,'30% Down Amortization'!$A$4:$A$363,'30% Down Amortization'!$E$4:$E$363,0,0,1),0)</f>
        <v>434907.28005961701</v>
      </c>
      <c r="Z21" s="70">
        <f t="shared" si="3"/>
        <v>440107.93787735538</v>
      </c>
      <c r="AA21" s="86"/>
    </row>
    <row r="22" spans="1:27" ht="14.25" customHeight="1" x14ac:dyDescent="0.25">
      <c r="A22" s="10"/>
      <c r="B22" s="43"/>
      <c r="C22" s="43"/>
      <c r="D22" s="44"/>
      <c r="E22" s="45"/>
      <c r="F22" s="43"/>
      <c r="G22" s="43"/>
      <c r="H22" s="43"/>
      <c r="I22" s="43"/>
      <c r="M22" s="30">
        <v>16</v>
      </c>
      <c r="N22" s="34">
        <f t="shared" si="0"/>
        <v>430965.03286002611</v>
      </c>
      <c r="O22" s="35">
        <f t="shared" si="1"/>
        <v>0.20897839863658407</v>
      </c>
      <c r="P22" s="36">
        <f>'With Loan'!$D$38</f>
        <v>128890.42470170549</v>
      </c>
      <c r="Q22" s="37">
        <f>'With Loan'!$H$31</f>
        <v>3.5000000000000003E-2</v>
      </c>
      <c r="R22" s="38">
        <f>'With Loan'!$D$24</f>
        <v>391000</v>
      </c>
      <c r="S22" s="38">
        <f>'With Loan'!$D$40</f>
        <v>273700</v>
      </c>
      <c r="T22" s="39">
        <f t="shared" si="2"/>
        <v>286988.54157293751</v>
      </c>
      <c r="U22" s="39">
        <f>S22-_xlfn.XLOOKUP($M22*12,'30% Down Amortization'!$A$4:$A$363,'30% Down Amortization'!$E$4:$E$363,0,0,1)</f>
        <v>108225.16411338036</v>
      </c>
      <c r="V22" s="39">
        <f>(R22+T22)*'With Loan'!$H$36</f>
        <v>47459.197910105628</v>
      </c>
      <c r="W22" s="36">
        <f>'With Loan'!$I$27*'With Loan'!$M22</f>
        <v>83210.525083813875</v>
      </c>
      <c r="X22" s="34">
        <f t="shared" si="4"/>
        <v>5200.6578177383672</v>
      </c>
      <c r="Y22" s="80">
        <f>IF($H$32=$M22,R22+T22-V22-_xlfn.XLOOKUP(M22*12,'30% Down Amortization'!$A$4:$A$363,'30% Down Amortization'!$E$4:$E$363,0,0,1),0)</f>
        <v>0</v>
      </c>
      <c r="Z22" s="70">
        <f t="shared" si="3"/>
        <v>0</v>
      </c>
    </row>
    <row r="23" spans="1:27" ht="18" x14ac:dyDescent="0.25">
      <c r="A23" s="10"/>
      <c r="B23" s="46" t="s">
        <v>0</v>
      </c>
      <c r="C23" s="46"/>
      <c r="D23" s="47"/>
      <c r="E23" s="48"/>
      <c r="F23" s="49"/>
      <c r="G23" s="46" t="s">
        <v>23</v>
      </c>
      <c r="H23" s="48" t="s">
        <v>11</v>
      </c>
      <c r="I23" s="48" t="s">
        <v>12</v>
      </c>
      <c r="M23" s="30">
        <v>17</v>
      </c>
      <c r="N23" s="34">
        <f t="shared" si="0"/>
        <v>467395.88145631202</v>
      </c>
      <c r="O23" s="35">
        <f t="shared" si="1"/>
        <v>0.21331200857948029</v>
      </c>
      <c r="P23" s="36">
        <f>'With Loan'!$D$38</f>
        <v>128890.42470170549</v>
      </c>
      <c r="Q23" s="37">
        <f>'With Loan'!$H$31</f>
        <v>3.5000000000000003E-2</v>
      </c>
      <c r="R23" s="38">
        <f>'With Loan'!$D$24</f>
        <v>391000</v>
      </c>
      <c r="S23" s="38">
        <f>'With Loan'!$D$40</f>
        <v>273700</v>
      </c>
      <c r="T23" s="39">
        <f t="shared" si="2"/>
        <v>310718.1405279903</v>
      </c>
      <c r="U23" s="39">
        <f>S23-_xlfn.XLOOKUP($M23*12,'30% Down Amortization'!$A$4:$A$363,'30% Down Amortization'!$E$4:$E$363,0,0,1)</f>
        <v>117386.82786372877</v>
      </c>
      <c r="V23" s="39">
        <f>(R23+T23)*'With Loan'!$H$36</f>
        <v>49120.269836959327</v>
      </c>
      <c r="W23" s="36">
        <f>'With Loan'!$I$27*'With Loan'!$M23</f>
        <v>88411.182901552238</v>
      </c>
      <c r="X23" s="34">
        <f t="shared" si="4"/>
        <v>5200.6578177383672</v>
      </c>
      <c r="Y23" s="80">
        <f>IF($H$32=$M23,R23+T23-V23-_xlfn.XLOOKUP(M23*12,'30% Down Amortization'!$A$4:$A$363,'30% Down Amortization'!$E$4:$E$363,0,0,1),0)</f>
        <v>0</v>
      </c>
      <c r="Z23" s="70">
        <f t="shared" si="3"/>
        <v>0</v>
      </c>
    </row>
    <row r="24" spans="1:27" x14ac:dyDescent="0.25">
      <c r="A24" s="10"/>
      <c r="B24" s="56" t="s">
        <v>84</v>
      </c>
      <c r="C24" s="56"/>
      <c r="D24" s="61">
        <f>D34</f>
        <v>391000</v>
      </c>
      <c r="E24" s="45"/>
      <c r="F24" s="43"/>
      <c r="G24" s="44" t="s">
        <v>24</v>
      </c>
      <c r="H24" s="50">
        <f>Summary!D11</f>
        <v>1450</v>
      </c>
      <c r="I24" s="53">
        <f>H24*12</f>
        <v>17400</v>
      </c>
      <c r="M24" s="30">
        <v>18</v>
      </c>
      <c r="N24" s="34">
        <f t="shared" si="0"/>
        <v>504948.65781266947</v>
      </c>
      <c r="O24" s="35">
        <f t="shared" si="1"/>
        <v>0.21764769009597171</v>
      </c>
      <c r="P24" s="36">
        <f>'With Loan'!$D$38</f>
        <v>128890.42470170549</v>
      </c>
      <c r="Q24" s="37">
        <f>'With Loan'!$H$31</f>
        <v>3.5000000000000003E-2</v>
      </c>
      <c r="R24" s="38">
        <f>'With Loan'!$D$24</f>
        <v>391000</v>
      </c>
      <c r="S24" s="38">
        <f>'With Loan'!$D$40</f>
        <v>273700</v>
      </c>
      <c r="T24" s="39">
        <f t="shared" si="2"/>
        <v>335278.2754464699</v>
      </c>
      <c r="U24" s="39">
        <f>S24-_xlfn.XLOOKUP($M24*12,'30% Down Amortization'!$A$4:$A$363,'30% Down Amortization'!$E$4:$E$363,0,0,1)</f>
        <v>126898.02092816186</v>
      </c>
      <c r="V24" s="39">
        <f>(R24+T24)*'With Loan'!$H$36</f>
        <v>50839.479281252898</v>
      </c>
      <c r="W24" s="36">
        <f>'With Loan'!$I$27*'With Loan'!$M24</f>
        <v>93611.840719290602</v>
      </c>
      <c r="X24" s="34">
        <f t="shared" si="4"/>
        <v>5200.6578177383672</v>
      </c>
      <c r="Y24" s="80">
        <f>IF($H$32=$M24,R24+T24-V24-_xlfn.XLOOKUP(M24*12,'30% Down Amortization'!$A$4:$A$363,'30% Down Amortization'!$E$4:$E$363,0,0,1),0)</f>
        <v>0</v>
      </c>
      <c r="Z24" s="70">
        <f t="shared" si="3"/>
        <v>0</v>
      </c>
    </row>
    <row r="25" spans="1:27" x14ac:dyDescent="0.25">
      <c r="A25" s="10"/>
      <c r="B25" s="56" t="s">
        <v>89</v>
      </c>
      <c r="C25" s="56"/>
      <c r="D25" s="61">
        <f>I25</f>
        <v>34800</v>
      </c>
      <c r="E25" s="45"/>
      <c r="F25" s="43"/>
      <c r="G25" s="44" t="s">
        <v>134</v>
      </c>
      <c r="H25" s="50">
        <f>H24*2</f>
        <v>2900</v>
      </c>
      <c r="I25" s="53">
        <f t="shared" ref="I25" si="5">H25*12</f>
        <v>34800</v>
      </c>
      <c r="M25" s="30">
        <v>19</v>
      </c>
      <c r="N25" s="34">
        <f t="shared" si="0"/>
        <v>543663.73086982837</v>
      </c>
      <c r="O25" s="35">
        <f t="shared" si="1"/>
        <v>0.22200160049373791</v>
      </c>
      <c r="P25" s="36">
        <f>'With Loan'!$D$38</f>
        <v>128890.42470170549</v>
      </c>
      <c r="Q25" s="37">
        <f>'With Loan'!$H$31</f>
        <v>3.5000000000000003E-2</v>
      </c>
      <c r="R25" s="38">
        <f>'With Loan'!$D$24</f>
        <v>391000</v>
      </c>
      <c r="S25" s="38">
        <f>'With Loan'!$D$40</f>
        <v>273700</v>
      </c>
      <c r="T25" s="39">
        <f t="shared" si="2"/>
        <v>360698.01508709625</v>
      </c>
      <c r="U25" s="39">
        <f>S25-_xlfn.XLOOKUP($M25*12,'30% Down Amortization'!$A$4:$A$363,'30% Down Amortization'!$E$4:$E$363,0,0,1)</f>
        <v>136772.07830179992</v>
      </c>
      <c r="V25" s="39">
        <f>(R25+T25)*'With Loan'!$H$36</f>
        <v>52618.861056096743</v>
      </c>
      <c r="W25" s="36">
        <f>'With Loan'!$I$27*'With Loan'!$M25</f>
        <v>98812.49853702898</v>
      </c>
      <c r="X25" s="34">
        <f t="shared" si="4"/>
        <v>5200.6578177383672</v>
      </c>
      <c r="Y25" s="80">
        <f>IF($H$32=$M25,R25+T25-V25-_xlfn.XLOOKUP(M25*12,'30% Down Amortization'!$A$4:$A$363,'30% Down Amortization'!$E$4:$E$363,0,0,1),0)</f>
        <v>0</v>
      </c>
      <c r="Z25" s="70">
        <f t="shared" si="3"/>
        <v>0</v>
      </c>
    </row>
    <row r="26" spans="1:27" x14ac:dyDescent="0.25">
      <c r="A26" s="10"/>
      <c r="B26" s="56" t="s">
        <v>2</v>
      </c>
      <c r="C26" s="56"/>
      <c r="D26" s="61">
        <f>D38</f>
        <v>128890.42470170549</v>
      </c>
      <c r="E26" s="45"/>
      <c r="F26" s="43"/>
      <c r="G26" s="44" t="s">
        <v>115</v>
      </c>
      <c r="H26" s="50">
        <f>D55</f>
        <v>2466.6118485218026</v>
      </c>
      <c r="I26" s="53">
        <f>E55</f>
        <v>29599.342182261633</v>
      </c>
      <c r="M26" s="30">
        <v>20</v>
      </c>
      <c r="N26" s="34">
        <f t="shared" si="0"/>
        <v>583582.92450391513</v>
      </c>
      <c r="O26" s="35">
        <f t="shared" si="1"/>
        <v>0.22638723002679079</v>
      </c>
      <c r="P26" s="36">
        <f>'With Loan'!$D$38</f>
        <v>128890.42470170549</v>
      </c>
      <c r="Q26" s="37">
        <f>'With Loan'!$H$31</f>
        <v>3.5000000000000003E-2</v>
      </c>
      <c r="R26" s="38">
        <f>'With Loan'!$D$24</f>
        <v>391000</v>
      </c>
      <c r="S26" s="38">
        <f>'With Loan'!$D$40</f>
        <v>273700</v>
      </c>
      <c r="T26" s="39">
        <f t="shared" si="2"/>
        <v>387007.44561514445</v>
      </c>
      <c r="U26" s="39">
        <f>S26-_xlfn.XLOOKUP($M26*12,'30% Down Amortization'!$A$4:$A$363,'30% Down Amortization'!$E$4:$E$363,0,0,1)</f>
        <v>147022.84372706342</v>
      </c>
      <c r="V26" s="39">
        <f>(R26+T26)*'With Loan'!$H$36</f>
        <v>54460.521193060114</v>
      </c>
      <c r="W26" s="36">
        <f>'With Loan'!$I$27*'With Loan'!$M26</f>
        <v>104013.15635476734</v>
      </c>
      <c r="X26" s="34">
        <f t="shared" si="4"/>
        <v>5200.6578177383672</v>
      </c>
      <c r="Y26" s="80">
        <f>IF($H$32=$M26,R26+T26-V26-_xlfn.XLOOKUP(M26*12,'30% Down Amortization'!$A$4:$A$363,'30% Down Amortization'!$E$4:$E$363,0,0,1),0)</f>
        <v>0</v>
      </c>
      <c r="Z26" s="70">
        <f t="shared" si="3"/>
        <v>0</v>
      </c>
    </row>
    <row r="27" spans="1:27" x14ac:dyDescent="0.25">
      <c r="A27" s="10"/>
      <c r="B27" s="56" t="s">
        <v>123</v>
      </c>
      <c r="C27" s="56"/>
      <c r="D27" s="61">
        <f>H27</f>
        <v>433.38815147819741</v>
      </c>
      <c r="E27" s="45"/>
      <c r="F27" s="43"/>
      <c r="G27" s="56" t="s">
        <v>68</v>
      </c>
      <c r="H27" s="58">
        <f>H25-H26</f>
        <v>433.38815147819741</v>
      </c>
      <c r="I27" s="59">
        <f>I25-I26</f>
        <v>5200.6578177383672</v>
      </c>
      <c r="M27" s="30">
        <v>21</v>
      </c>
      <c r="N27" s="34">
        <f t="shared" si="0"/>
        <v>624749.57005240279</v>
      </c>
      <c r="O27" s="35">
        <f t="shared" si="1"/>
        <v>0.2308160563141603</v>
      </c>
      <c r="P27" s="36">
        <f>'With Loan'!$D$38</f>
        <v>128890.42470170549</v>
      </c>
      <c r="Q27" s="37">
        <f>'With Loan'!$H$31</f>
        <v>3.5000000000000003E-2</v>
      </c>
      <c r="R27" s="38">
        <f>'With Loan'!$D$24</f>
        <v>391000</v>
      </c>
      <c r="S27" s="38">
        <f>'With Loan'!$D$40</f>
        <v>273700</v>
      </c>
      <c r="T27" s="39">
        <f t="shared" si="2"/>
        <v>414237.70621167438</v>
      </c>
      <c r="U27" s="39">
        <f>S27-_xlfn.XLOOKUP($M27*12,'30% Down Amortization'!$A$4:$A$363,'30% Down Amortization'!$E$4:$E$363,0,0,1)</f>
        <v>157664.68910303997</v>
      </c>
      <c r="V27" s="39">
        <f>(R27+T27)*'With Loan'!$H$36</f>
        <v>56366.639434817211</v>
      </c>
      <c r="W27" s="36">
        <f>'With Loan'!$I$27*'With Loan'!$M27</f>
        <v>109213.81417250571</v>
      </c>
      <c r="X27" s="34">
        <f t="shared" si="4"/>
        <v>5200.6578177383672</v>
      </c>
      <c r="Y27" s="80">
        <f>IF($H$32=$M27,R27+T27-V27-_xlfn.XLOOKUP(M27*12,'30% Down Amortization'!$A$4:$A$363,'30% Down Amortization'!$E$4:$E$363,0,0,1),0)</f>
        <v>0</v>
      </c>
      <c r="Z27" s="70">
        <f t="shared" si="3"/>
        <v>0</v>
      </c>
    </row>
    <row r="28" spans="1:27" x14ac:dyDescent="0.25">
      <c r="A28" s="10"/>
      <c r="B28" s="56" t="s">
        <v>124</v>
      </c>
      <c r="C28" s="56"/>
      <c r="D28" s="61">
        <f>H28</f>
        <v>607.38815147819741</v>
      </c>
      <c r="E28" s="45"/>
      <c r="F28" s="43"/>
      <c r="G28" s="56" t="s">
        <v>128</v>
      </c>
      <c r="H28" s="58">
        <f>H25-H26+D53+D54</f>
        <v>607.38815147819741</v>
      </c>
      <c r="I28" s="58">
        <f>I25-I26+E53+E54</f>
        <v>7288.6578177383672</v>
      </c>
      <c r="M28" s="30">
        <v>22</v>
      </c>
      <c r="N28" s="34">
        <f t="shared" si="0"/>
        <v>667208.56073963526</v>
      </c>
      <c r="O28" s="35">
        <f t="shared" si="1"/>
        <v>0.23529802095066185</v>
      </c>
      <c r="P28" s="36">
        <f>'With Loan'!$D$38</f>
        <v>128890.42470170549</v>
      </c>
      <c r="Q28" s="37">
        <f>'With Loan'!$H$31</f>
        <v>3.5000000000000003E-2</v>
      </c>
      <c r="R28" s="38">
        <f>'With Loan'!$D$24</f>
        <v>391000</v>
      </c>
      <c r="S28" s="38">
        <f>'With Loan'!$D$40</f>
        <v>273700</v>
      </c>
      <c r="T28" s="39">
        <f t="shared" si="2"/>
        <v>442421.025929083</v>
      </c>
      <c r="U28" s="39">
        <f>S28-_xlfn.XLOOKUP($M28*12,'30% Down Amortization'!$A$4:$A$363,'30% Down Amortization'!$E$4:$E$363,0,0,1)</f>
        <v>168712.53463534394</v>
      </c>
      <c r="V28" s="39">
        <f>(R28+T28)*'With Loan'!$H$36</f>
        <v>58339.471815035817</v>
      </c>
      <c r="W28" s="36">
        <f>'With Loan'!$I$27*'With Loan'!$M28</f>
        <v>114414.47199024408</v>
      </c>
      <c r="X28" s="34">
        <f t="shared" si="4"/>
        <v>5200.6578177383672</v>
      </c>
      <c r="Y28" s="80">
        <f>IF($H$32=$M28,R28+T28-V28-_xlfn.XLOOKUP(M28*12,'30% Down Amortization'!$A$4:$A$363,'30% Down Amortization'!$E$4:$E$363,0,0,1),0)</f>
        <v>0</v>
      </c>
      <c r="Z28" s="70">
        <f t="shared" si="3"/>
        <v>0</v>
      </c>
    </row>
    <row r="29" spans="1:27" x14ac:dyDescent="0.25">
      <c r="A29" s="10"/>
      <c r="B29" s="56" t="s">
        <v>3</v>
      </c>
      <c r="C29" s="56"/>
      <c r="D29" s="61">
        <f>H39</f>
        <v>395617.14732569247</v>
      </c>
      <c r="E29" s="45"/>
      <c r="F29" s="43"/>
      <c r="G29" s="10"/>
      <c r="H29" s="10"/>
      <c r="I29" s="10"/>
      <c r="M29" s="30">
        <v>23</v>
      </c>
      <c r="N29" s="34">
        <f t="shared" si="0"/>
        <v>711006.40807074052</v>
      </c>
      <c r="O29" s="35">
        <f t="shared" si="1"/>
        <v>0.23984188244841084</v>
      </c>
      <c r="P29" s="36">
        <f>'With Loan'!$D$38</f>
        <v>128890.42470170549</v>
      </c>
      <c r="Q29" s="37">
        <f>'With Loan'!$H$31</f>
        <v>3.5000000000000003E-2</v>
      </c>
      <c r="R29" s="38">
        <f>'With Loan'!$D$24</f>
        <v>391000</v>
      </c>
      <c r="S29" s="38">
        <f>'With Loan'!$D$40</f>
        <v>273700</v>
      </c>
      <c r="T29" s="39">
        <f t="shared" si="2"/>
        <v>471590.76183660096</v>
      </c>
      <c r="U29" s="39">
        <f>S29-_xlfn.XLOOKUP($M29*12,'30% Down Amortization'!$A$4:$A$363,'30% Down Amortization'!$E$4:$E$363,0,0,1)</f>
        <v>180181.86975471914</v>
      </c>
      <c r="V29" s="39">
        <f>(R29+T29)*'With Loan'!$H$36</f>
        <v>60381.353328562072</v>
      </c>
      <c r="W29" s="36">
        <f>'With Loan'!$I$27*'With Loan'!$M29</f>
        <v>119615.12980798245</v>
      </c>
      <c r="X29" s="34">
        <f t="shared" si="4"/>
        <v>5200.6578177383672</v>
      </c>
      <c r="Y29" s="80">
        <f>IF($H$32=$M29,R29+T29-V29-_xlfn.XLOOKUP(M29*12,'30% Down Amortization'!$A$4:$A$363,'30% Down Amortization'!$E$4:$E$363,0,0,1),0)</f>
        <v>0</v>
      </c>
      <c r="Z29" s="70">
        <f t="shared" si="3"/>
        <v>0</v>
      </c>
    </row>
    <row r="30" spans="1:27" ht="18" x14ac:dyDescent="0.25">
      <c r="A30" s="10"/>
      <c r="B30" s="56" t="s">
        <v>4</v>
      </c>
      <c r="C30" s="56"/>
      <c r="D30" s="57">
        <f>H43</f>
        <v>0.20462712066795222</v>
      </c>
      <c r="E30" s="45"/>
      <c r="F30" s="43"/>
      <c r="G30" s="46" t="s">
        <v>25</v>
      </c>
      <c r="H30" s="48"/>
      <c r="I30" s="48"/>
      <c r="M30" s="30">
        <v>24</v>
      </c>
      <c r="N30" s="34">
        <f t="shared" si="0"/>
        <v>756191.30026525434</v>
      </c>
      <c r="O30" s="35">
        <f t="shared" si="1"/>
        <v>0.24445548160234032</v>
      </c>
      <c r="P30" s="36">
        <f>'With Loan'!$D$38</f>
        <v>128890.42470170549</v>
      </c>
      <c r="Q30" s="37">
        <f>'With Loan'!$H$31</f>
        <v>3.5000000000000003E-2</v>
      </c>
      <c r="R30" s="38">
        <f>'With Loan'!$D$24</f>
        <v>391000</v>
      </c>
      <c r="S30" s="38">
        <f>'With Loan'!$D$40</f>
        <v>273700</v>
      </c>
      <c r="T30" s="39">
        <f t="shared" si="2"/>
        <v>501781.43850088178</v>
      </c>
      <c r="U30" s="39">
        <f>S30-_xlfn.XLOOKUP($M30*12,'30% Down Amortization'!$A$4:$A$363,'30% Down Amortization'!$E$4:$E$363,0,0,1)</f>
        <v>192088.77483371337</v>
      </c>
      <c r="V30" s="39">
        <f>(R30+T30)*'With Loan'!$H$36</f>
        <v>62494.700695061729</v>
      </c>
      <c r="W30" s="36">
        <f>'With Loan'!$I$27*'With Loan'!$M30</f>
        <v>124815.78762572081</v>
      </c>
      <c r="X30" s="34">
        <f t="shared" si="4"/>
        <v>5200.6578177383672</v>
      </c>
      <c r="Y30" s="80">
        <f>IF($H$32=$M30,R30+T30-V30-_xlfn.XLOOKUP(M30*12,'30% Down Amortization'!$A$4:$A$363,'30% Down Amortization'!$E$4:$E$363,0,0,1),0)</f>
        <v>0</v>
      </c>
      <c r="Z30" s="70">
        <f t="shared" si="3"/>
        <v>0</v>
      </c>
    </row>
    <row r="31" spans="1:27" x14ac:dyDescent="0.25">
      <c r="A31" s="10"/>
      <c r="B31" s="56" t="s">
        <v>122</v>
      </c>
      <c r="D31" s="57">
        <f>H44</f>
        <v>0.10958601280273839</v>
      </c>
      <c r="F31" s="43"/>
      <c r="G31" s="44" t="s">
        <v>26</v>
      </c>
      <c r="H31" s="62">
        <f>Summary!D12</f>
        <v>3.5000000000000003E-2</v>
      </c>
      <c r="I31" s="45"/>
      <c r="M31" s="30">
        <v>25</v>
      </c>
      <c r="N31" s="34">
        <f t="shared" si="0"/>
        <v>802813.1628043548</v>
      </c>
      <c r="O31" s="35">
        <f t="shared" si="1"/>
        <v>0.24914594382393462</v>
      </c>
      <c r="P31" s="36">
        <f>'With Loan'!$D$38</f>
        <v>128890.42470170549</v>
      </c>
      <c r="Q31" s="37">
        <f>'With Loan'!$H$31</f>
        <v>3.5000000000000003E-2</v>
      </c>
      <c r="R31" s="38">
        <f>'With Loan'!$D$24</f>
        <v>391000</v>
      </c>
      <c r="S31" s="38">
        <f>'With Loan'!$D$40</f>
        <v>273700</v>
      </c>
      <c r="T31" s="39">
        <f t="shared" si="2"/>
        <v>533028.78884841257</v>
      </c>
      <c r="U31" s="39">
        <f>S31-_xlfn.XLOOKUP($M31*12,'30% Down Amortization'!$A$4:$A$363,'30% Down Amortization'!$E$4:$E$363,0,0,1)</f>
        <v>204449.94373187196</v>
      </c>
      <c r="V31" s="39">
        <f>(R31+T31)*'With Loan'!$H$36</f>
        <v>64682.015219388886</v>
      </c>
      <c r="W31" s="36">
        <f>'With Loan'!$I$27*'With Loan'!$M31</f>
        <v>130016.44544345918</v>
      </c>
      <c r="X31" s="34">
        <f t="shared" si="4"/>
        <v>5200.6578177383672</v>
      </c>
      <c r="Y31" s="80">
        <f>IF($H$32=$M31,R31+T31-V31-_xlfn.XLOOKUP(M31*12,'30% Down Amortization'!$A$4:$A$363,'30% Down Amortization'!$E$4:$E$363,0,0,1),0)</f>
        <v>0</v>
      </c>
      <c r="Z31" s="70">
        <f t="shared" si="3"/>
        <v>0</v>
      </c>
    </row>
    <row r="32" spans="1:27" x14ac:dyDescent="0.25">
      <c r="A32" s="10"/>
      <c r="B32" s="56" t="s">
        <v>5</v>
      </c>
      <c r="C32" s="56"/>
      <c r="D32" s="57">
        <f>H45</f>
        <v>5.2202624826939464E-2</v>
      </c>
      <c r="E32" s="45"/>
      <c r="F32" s="43"/>
      <c r="G32" s="44" t="s">
        <v>27</v>
      </c>
      <c r="H32" s="79">
        <f>Summary!D13</f>
        <v>15</v>
      </c>
      <c r="I32" s="45"/>
      <c r="M32" s="30">
        <v>26</v>
      </c>
      <c r="N32" s="34">
        <f t="shared" si="0"/>
        <v>850923.72116829664</v>
      </c>
      <c r="O32" s="35">
        <f t="shared" si="1"/>
        <v>0.25391983543612928</v>
      </c>
      <c r="P32" s="36">
        <f>'With Loan'!$D$38</f>
        <v>128890.42470170549</v>
      </c>
      <c r="Q32" s="37">
        <f>'With Loan'!$H$31</f>
        <v>3.5000000000000003E-2</v>
      </c>
      <c r="R32" s="38">
        <f>'With Loan'!$D$24</f>
        <v>391000</v>
      </c>
      <c r="S32" s="38">
        <f>'With Loan'!$D$40</f>
        <v>273700</v>
      </c>
      <c r="T32" s="39">
        <f t="shared" si="2"/>
        <v>565369.79645810695</v>
      </c>
      <c r="U32" s="39">
        <f>S32-_xlfn.XLOOKUP($M32*12,'30% Down Amortization'!$A$4:$A$363,'30% Down Amortization'!$E$4:$E$363,0,0,1)</f>
        <v>217282.70720105965</v>
      </c>
      <c r="V32" s="39">
        <f>(R32+T32)*'With Loan'!$H$36</f>
        <v>66945.885752067494</v>
      </c>
      <c r="W32" s="36">
        <f>'With Loan'!$I$27*'With Loan'!$M32</f>
        <v>135217.10326119754</v>
      </c>
      <c r="X32" s="34">
        <f t="shared" si="4"/>
        <v>5200.6578177383672</v>
      </c>
      <c r="Y32" s="80">
        <f>IF($H$32=$M32,R32+T32-V32-_xlfn.XLOOKUP(M32*12,'30% Down Amortization'!$A$4:$A$363,'30% Down Amortization'!$E$4:$E$363,0,0,1),0)</f>
        <v>0</v>
      </c>
      <c r="Z32" s="70">
        <f t="shared" si="3"/>
        <v>0</v>
      </c>
    </row>
    <row r="33" spans="1:26" ht="18" x14ac:dyDescent="0.25">
      <c r="A33" s="10"/>
      <c r="B33" s="46" t="s">
        <v>6</v>
      </c>
      <c r="C33" s="46"/>
      <c r="D33" s="47"/>
      <c r="E33" s="48"/>
      <c r="F33" s="43"/>
      <c r="G33" s="56" t="str">
        <f>CONCATENATE("Appreciation After ",H32," Years")</f>
        <v>Appreciation After 15 Years</v>
      </c>
      <c r="H33" s="58">
        <f>$D$34*(1+H31)^H32-$D$34</f>
        <v>264061.39282409428</v>
      </c>
      <c r="I33" s="45" t="s">
        <v>74</v>
      </c>
      <c r="M33" s="30">
        <v>27</v>
      </c>
      <c r="N33" s="34">
        <f t="shared" si="0"/>
        <v>900576.56584341289</v>
      </c>
      <c r="O33" s="35">
        <f t="shared" si="1"/>
        <v>0.25878328588817778</v>
      </c>
      <c r="P33" s="36">
        <f>'With Loan'!$D$38</f>
        <v>128890.42470170549</v>
      </c>
      <c r="Q33" s="37">
        <f>'With Loan'!$H$31</f>
        <v>3.5000000000000003E-2</v>
      </c>
      <c r="R33" s="38">
        <f>'With Loan'!$D$24</f>
        <v>391000</v>
      </c>
      <c r="S33" s="38">
        <f>'With Loan'!$D$40</f>
        <v>273700</v>
      </c>
      <c r="T33" s="39">
        <f t="shared" si="2"/>
        <v>598842.73933414079</v>
      </c>
      <c r="U33" s="39">
        <f>S33-_xlfn.XLOOKUP($M33*12,'30% Down Amortization'!$A$4:$A$363,'30% Down Amortization'!$E$4:$E$363,0,0,1)</f>
        <v>230605.05718372596</v>
      </c>
      <c r="V33" s="39">
        <f>(R33+T33)*'With Loan'!$H$36</f>
        <v>69288.991753389855</v>
      </c>
      <c r="W33" s="36">
        <f>'With Loan'!$I$27*'With Loan'!$M33</f>
        <v>140417.7610789359</v>
      </c>
      <c r="X33" s="34">
        <f t="shared" si="4"/>
        <v>5200.6578177383672</v>
      </c>
      <c r="Y33" s="80">
        <f>IF($H$32=$M33,R33+T33-V33-_xlfn.XLOOKUP(M33*12,'30% Down Amortization'!$A$4:$A$363,'30% Down Amortization'!$E$4:$E$363,0,0,1),0)</f>
        <v>0</v>
      </c>
      <c r="Z33" s="70">
        <f t="shared" si="3"/>
        <v>0</v>
      </c>
    </row>
    <row r="34" spans="1:26" x14ac:dyDescent="0.25">
      <c r="A34" s="10"/>
      <c r="B34" s="44" t="s">
        <v>84</v>
      </c>
      <c r="C34" s="44"/>
      <c r="D34" s="50">
        <f>Summary!D8</f>
        <v>391000</v>
      </c>
      <c r="E34" s="45"/>
      <c r="F34" s="43"/>
      <c r="I34" s="45"/>
      <c r="M34" s="30">
        <v>28</v>
      </c>
      <c r="N34" s="34">
        <f t="shared" si="0"/>
        <v>951827.219680932</v>
      </c>
      <c r="O34" s="35">
        <f t="shared" si="1"/>
        <v>0.26374208443328367</v>
      </c>
      <c r="P34" s="36">
        <f>'With Loan'!$D$38</f>
        <v>128890.42470170549</v>
      </c>
      <c r="Q34" s="37">
        <f>'With Loan'!$H$31</f>
        <v>3.5000000000000003E-2</v>
      </c>
      <c r="R34" s="38">
        <f>'With Loan'!$D$24</f>
        <v>391000</v>
      </c>
      <c r="S34" s="38">
        <f>'With Loan'!$D$40</f>
        <v>273700</v>
      </c>
      <c r="T34" s="39">
        <f t="shared" si="2"/>
        <v>633487.2352108357</v>
      </c>
      <c r="U34" s="39">
        <f>S34-_xlfn.XLOOKUP($M34*12,'30% Down Amortization'!$A$4:$A$363,'30% Down Amortization'!$E$4:$E$363,0,0,1)</f>
        <v>244435.67203818052</v>
      </c>
      <c r="V34" s="39">
        <f>(R34+T34)*'With Loan'!$H$36</f>
        <v>71714.106464758501</v>
      </c>
      <c r="W34" s="36">
        <f>'With Loan'!$I$27*'With Loan'!$M34</f>
        <v>145618.41889667429</v>
      </c>
      <c r="X34" s="34">
        <f t="shared" si="4"/>
        <v>5200.6578177383672</v>
      </c>
      <c r="Y34" s="80">
        <f>IF($H$32=$M34,R34+T34-V34-_xlfn.XLOOKUP(M34*12,'30% Down Amortization'!$A$4:$A$363,'30% Down Amortization'!$E$4:$E$363,0,0,1),0)</f>
        <v>0</v>
      </c>
      <c r="Z34" s="70">
        <f t="shared" si="3"/>
        <v>0</v>
      </c>
    </row>
    <row r="35" spans="1:26" x14ac:dyDescent="0.25">
      <c r="A35" s="10"/>
      <c r="B35" s="44" t="s">
        <v>8</v>
      </c>
      <c r="C35" s="81">
        <f>Summary!D9</f>
        <v>0.3</v>
      </c>
      <c r="D35" s="52">
        <f>C35*D34</f>
        <v>117300</v>
      </c>
      <c r="E35" s="45"/>
      <c r="F35" s="43"/>
      <c r="G35" s="56" t="s">
        <v>30</v>
      </c>
      <c r="H35" s="58">
        <f>D40-_xlfn.XLOOKUP($H$32*12,'30% Down Amortization'!$A$4:$A$363,'30% Down Amortization'!$E$4:$E$363,0,0,1)</f>
        <v>99400.184733209288</v>
      </c>
      <c r="I35" s="71"/>
      <c r="M35" s="30">
        <v>29</v>
      </c>
      <c r="N35" s="34">
        <f t="shared" si="0"/>
        <v>1004733.2076928476</v>
      </c>
      <c r="O35" s="35">
        <f t="shared" si="1"/>
        <v>0.26880175745596152</v>
      </c>
      <c r="P35" s="36">
        <f>'With Loan'!$D$38</f>
        <v>128890.42470170549</v>
      </c>
      <c r="Q35" s="37">
        <f>'With Loan'!$H$31</f>
        <v>3.5000000000000003E-2</v>
      </c>
      <c r="R35" s="38">
        <f>'With Loan'!$D$24</f>
        <v>391000</v>
      </c>
      <c r="S35" s="38">
        <f>'With Loan'!$D$40</f>
        <v>273700</v>
      </c>
      <c r="T35" s="39">
        <f t="shared" si="2"/>
        <v>669344.28844321473</v>
      </c>
      <c r="U35" s="39">
        <f>S35-_xlfn.XLOOKUP($M35*12,'30% Down Amortization'!$A$4:$A$363,'30% Down Amortization'!$E$4:$E$363,0,0,1)</f>
        <v>258793.94272624538</v>
      </c>
      <c r="V35" s="39">
        <f>(R35+T35)*'With Loan'!$H$36</f>
        <v>74224.100191025034</v>
      </c>
      <c r="W35" s="36">
        <f>'With Loan'!$I$27*'With Loan'!$M35</f>
        <v>150819.07671441266</v>
      </c>
      <c r="X35" s="34">
        <f t="shared" si="4"/>
        <v>5200.6578177383672</v>
      </c>
      <c r="Y35" s="80">
        <f>IF($H$32=$M35,R35+T35-V35-_xlfn.XLOOKUP(M35*12,'30% Down Amortization'!$A$4:$A$363,'30% Down Amortization'!$E$4:$E$363,0,0,1),0)</f>
        <v>0</v>
      </c>
      <c r="Z35" s="70">
        <f t="shared" si="3"/>
        <v>0</v>
      </c>
    </row>
    <row r="36" spans="1:26" x14ac:dyDescent="0.25">
      <c r="A36" s="10"/>
      <c r="B36" s="44" t="s">
        <v>85</v>
      </c>
      <c r="C36" s="44"/>
      <c r="D36" s="52">
        <f>'Closing Costs'!C28</f>
        <v>11590.42470170548</v>
      </c>
      <c r="E36" s="60"/>
      <c r="F36" s="43"/>
      <c r="G36" s="44" t="s">
        <v>31</v>
      </c>
      <c r="H36" s="51">
        <v>7.0000000000000007E-2</v>
      </c>
      <c r="I36" s="45"/>
      <c r="M36" s="30">
        <v>30</v>
      </c>
      <c r="N36" s="34">
        <f t="shared" si="0"/>
        <v>1059354.1293731674</v>
      </c>
      <c r="O36" s="35">
        <f t="shared" si="1"/>
        <v>0.27396763098703381</v>
      </c>
      <c r="P36" s="36">
        <f>'With Loan'!$D$38</f>
        <v>128890.42470170549</v>
      </c>
      <c r="Q36" s="37">
        <f>'With Loan'!$H$31</f>
        <v>3.5000000000000003E-2</v>
      </c>
      <c r="R36" s="38">
        <f>'With Loan'!$D$24</f>
        <v>391000</v>
      </c>
      <c r="S36" s="38">
        <f>'With Loan'!$D$40</f>
        <v>273700</v>
      </c>
      <c r="T36" s="39">
        <f t="shared" si="2"/>
        <v>706456.33853872726</v>
      </c>
      <c r="U36" s="39">
        <f>S36-_xlfn.XLOOKUP($M36*12,'30% Down Amortization'!$A$4:$A$363,'30% Down Amortization'!$E$4:$E$363,0,0,1)</f>
        <v>273700.00000000012</v>
      </c>
      <c r="V36" s="39">
        <f>(R36+T36)*'With Loan'!$H$36</f>
        <v>76821.943697710914</v>
      </c>
      <c r="W36" s="36">
        <f>'With Loan'!$I$27*'With Loan'!$M36</f>
        <v>156019.73453215102</v>
      </c>
      <c r="X36" s="34">
        <f t="shared" si="4"/>
        <v>5200.6578177383672</v>
      </c>
      <c r="Y36" s="80">
        <f>IF($H$32=$M36,R36+T36-V36-_xlfn.XLOOKUP(M36*12,'30% Down Amortization'!$A$4:$A$363,'30% Down Amortization'!$E$4:$E$363,0,0,1),0)</f>
        <v>0</v>
      </c>
      <c r="Z36" s="70">
        <f t="shared" si="3"/>
        <v>0</v>
      </c>
    </row>
    <row r="37" spans="1:26" x14ac:dyDescent="0.25">
      <c r="A37" s="10"/>
      <c r="B37" s="44" t="s">
        <v>9</v>
      </c>
      <c r="C37" s="44"/>
      <c r="D37" s="50">
        <v>0</v>
      </c>
      <c r="E37" s="45"/>
      <c r="F37" s="43"/>
      <c r="G37" s="44" t="s">
        <v>32</v>
      </c>
      <c r="H37" s="52">
        <f>(D34+H33)*$H$36</f>
        <v>45854.297497686603</v>
      </c>
      <c r="I37" s="45"/>
      <c r="N37" s="34"/>
      <c r="Z37" s="70"/>
    </row>
    <row r="38" spans="1:26" x14ac:dyDescent="0.25">
      <c r="A38" s="10"/>
      <c r="B38" s="56" t="s">
        <v>2</v>
      </c>
      <c r="C38" s="56"/>
      <c r="D38" s="61">
        <f>SUM(D35:D37)</f>
        <v>128890.42470170549</v>
      </c>
      <c r="E38" s="45"/>
      <c r="F38" s="43"/>
      <c r="G38" s="56" t="s">
        <v>28</v>
      </c>
      <c r="H38" s="64">
        <f>H32*I27</f>
        <v>78009.867266075511</v>
      </c>
      <c r="I38" s="45"/>
      <c r="Z38" s="70"/>
    </row>
    <row r="39" spans="1:26" ht="18" x14ac:dyDescent="0.25">
      <c r="A39" s="10"/>
      <c r="B39" s="46" t="s">
        <v>10</v>
      </c>
      <c r="C39" s="46"/>
      <c r="D39" s="48" t="s">
        <v>11</v>
      </c>
      <c r="E39" s="48" t="s">
        <v>12</v>
      </c>
      <c r="F39" s="43"/>
      <c r="G39" s="56" t="s">
        <v>3</v>
      </c>
      <c r="H39" s="58">
        <f>H38+H33+H35-H37</f>
        <v>395617.14732569247</v>
      </c>
      <c r="I39" s="45"/>
      <c r="Z39" s="70"/>
    </row>
    <row r="40" spans="1:26" x14ac:dyDescent="0.25">
      <c r="A40" s="10"/>
      <c r="B40" s="44" t="s">
        <v>13</v>
      </c>
      <c r="C40" s="44"/>
      <c r="D40" s="52">
        <f>D34-D35</f>
        <v>273700</v>
      </c>
      <c r="E40" s="45"/>
      <c r="F40" s="43"/>
      <c r="I40" s="45"/>
      <c r="Z40" s="70"/>
    </row>
    <row r="41" spans="1:26" x14ac:dyDescent="0.25">
      <c r="A41" s="10"/>
      <c r="B41" s="44" t="s">
        <v>82</v>
      </c>
      <c r="C41" s="44"/>
      <c r="D41" s="63">
        <f>Summary!D10</f>
        <v>3.7499999999999999E-2</v>
      </c>
      <c r="E41" s="45"/>
      <c r="F41" s="43"/>
      <c r="G41" s="56" t="s">
        <v>118</v>
      </c>
      <c r="H41" s="65">
        <f>((H38/D38)/H32)</f>
        <v>4.0349450548979003E-2</v>
      </c>
      <c r="I41" s="45"/>
      <c r="Z41" s="70"/>
    </row>
    <row r="42" spans="1:26" x14ac:dyDescent="0.25">
      <c r="A42" s="10"/>
      <c r="B42" s="44" t="s">
        <v>14</v>
      </c>
      <c r="C42" s="44"/>
      <c r="D42" s="55">
        <v>30</v>
      </c>
      <c r="E42" s="45"/>
      <c r="F42" s="43"/>
      <c r="G42" s="56" t="s">
        <v>119</v>
      </c>
      <c r="H42" s="65">
        <f>((I28*H32)/D38)/H32</f>
        <v>5.6549257515495818E-2</v>
      </c>
      <c r="I42" s="45"/>
      <c r="Z42" s="70"/>
    </row>
    <row r="43" spans="1:26" x14ac:dyDescent="0.25">
      <c r="A43" s="10"/>
      <c r="B43" s="56" t="s">
        <v>15</v>
      </c>
      <c r="C43" s="56"/>
      <c r="D43" s="61">
        <f>-PMT(D41/12,D42*12,$D$40,0,0)</f>
        <v>1267.5473741329135</v>
      </c>
      <c r="E43" s="59">
        <f>D43*12</f>
        <v>15210.568489594963</v>
      </c>
      <c r="F43" s="43"/>
      <c r="G43" s="56" t="s">
        <v>4</v>
      </c>
      <c r="H43" s="65">
        <f>H39/D38/H32</f>
        <v>0.20462712066795222</v>
      </c>
      <c r="I43" s="45"/>
    </row>
    <row r="44" spans="1:26" ht="18" x14ac:dyDescent="0.25">
      <c r="A44" s="10"/>
      <c r="B44" s="46" t="s">
        <v>114</v>
      </c>
      <c r="C44" s="46"/>
      <c r="D44" s="48" t="s">
        <v>11</v>
      </c>
      <c r="E44" s="48" t="s">
        <v>12</v>
      </c>
      <c r="F44" s="43"/>
      <c r="G44" s="56" t="s">
        <v>122</v>
      </c>
      <c r="H44" s="65">
        <f>IRR(Z6:Z36)</f>
        <v>0.10958601280273839</v>
      </c>
      <c r="I44" s="45"/>
    </row>
    <row r="45" spans="1:26" x14ac:dyDescent="0.25">
      <c r="A45" s="10"/>
      <c r="B45" s="44" t="s">
        <v>16</v>
      </c>
      <c r="C45" s="44"/>
      <c r="D45" s="52">
        <f>D43</f>
        <v>1267.5473741329135</v>
      </c>
      <c r="E45" s="53">
        <f>E43</f>
        <v>15210.568489594963</v>
      </c>
      <c r="F45" s="43"/>
      <c r="G45" s="56" t="s">
        <v>5</v>
      </c>
      <c r="H45" s="65">
        <f>(I25-E55+E45)/D34</f>
        <v>5.2202624826939464E-2</v>
      </c>
    </row>
    <row r="46" spans="1:26" x14ac:dyDescent="0.25">
      <c r="A46" s="10"/>
      <c r="B46" s="44" t="s">
        <v>17</v>
      </c>
      <c r="C46" s="82">
        <v>2.0030539999999999E-2</v>
      </c>
      <c r="D46" s="52">
        <f>C46*0.9*D34/12</f>
        <v>587.39558549999992</v>
      </c>
      <c r="E46" s="53">
        <f>D46*12</f>
        <v>7048.7470259999991</v>
      </c>
      <c r="F46" s="43"/>
      <c r="G46" s="10"/>
      <c r="H46" s="10"/>
      <c r="I46" s="10"/>
    </row>
    <row r="47" spans="1:26" ht="18" x14ac:dyDescent="0.25">
      <c r="A47" s="10"/>
      <c r="B47" s="44" t="s">
        <v>19</v>
      </c>
      <c r="C47" s="44"/>
      <c r="D47" s="50">
        <v>105</v>
      </c>
      <c r="E47" s="53">
        <f>D47*12</f>
        <v>1260</v>
      </c>
      <c r="F47" s="43"/>
      <c r="G47" s="46" t="s">
        <v>33</v>
      </c>
      <c r="H47" s="48"/>
      <c r="I47" s="48"/>
    </row>
    <row r="48" spans="1:26" x14ac:dyDescent="0.25">
      <c r="A48" s="10"/>
      <c r="B48" s="56" t="s">
        <v>126</v>
      </c>
      <c r="C48" s="44"/>
      <c r="D48" s="20">
        <f>SUM(D45:D47)</f>
        <v>1959.9429596329135</v>
      </c>
      <c r="E48" s="20">
        <f>SUM(E45:E47)</f>
        <v>23519.315515594964</v>
      </c>
      <c r="F48" s="43"/>
      <c r="G48" s="56" t="s">
        <v>87</v>
      </c>
      <c r="H48" s="66"/>
      <c r="I48" s="58">
        <f>(D34-68000)/27.5</f>
        <v>11745.454545454546</v>
      </c>
    </row>
    <row r="49" spans="1:9" x14ac:dyDescent="0.25">
      <c r="A49" s="10"/>
      <c r="B49" s="10"/>
      <c r="C49" s="10"/>
      <c r="D49" s="17"/>
      <c r="E49" s="16"/>
      <c r="F49" s="43"/>
      <c r="G49" s="10"/>
      <c r="H49" s="10"/>
      <c r="I49" s="10"/>
    </row>
    <row r="50" spans="1:9" ht="18" x14ac:dyDescent="0.25">
      <c r="A50" s="10"/>
      <c r="B50" s="44" t="s">
        <v>125</v>
      </c>
      <c r="C50" s="44"/>
      <c r="D50" s="50">
        <f>1000/12</f>
        <v>83.333333333333329</v>
      </c>
      <c r="E50" s="53">
        <f>D50*12</f>
        <v>1000</v>
      </c>
      <c r="F50" s="43"/>
      <c r="G50" s="46" t="s">
        <v>34</v>
      </c>
      <c r="H50" s="48"/>
      <c r="I50" s="48"/>
    </row>
    <row r="51" spans="1:9" x14ac:dyDescent="0.25">
      <c r="A51" s="10"/>
      <c r="B51" s="44" t="s">
        <v>18</v>
      </c>
      <c r="C51" s="81">
        <v>0.06</v>
      </c>
      <c r="D51" s="52">
        <f>(H25-D53)*C51</f>
        <v>168.78</v>
      </c>
      <c r="E51" s="53">
        <f>D51*12</f>
        <v>2025.3600000000001</v>
      </c>
      <c r="F51" s="43"/>
      <c r="G51" s="44" t="s">
        <v>35</v>
      </c>
      <c r="H51" s="44"/>
      <c r="I51" s="67">
        <v>6</v>
      </c>
    </row>
    <row r="52" spans="1:9" x14ac:dyDescent="0.25">
      <c r="A52" s="10"/>
      <c r="B52" s="44" t="s">
        <v>127</v>
      </c>
      <c r="C52" s="81">
        <v>0.5</v>
      </c>
      <c r="D52" s="52">
        <f>(C52*H25)/18</f>
        <v>80.555555555555557</v>
      </c>
      <c r="E52" s="53">
        <f>D52*12</f>
        <v>966.66666666666674</v>
      </c>
      <c r="F52" s="43"/>
      <c r="G52" s="56" t="s">
        <v>34</v>
      </c>
      <c r="H52" s="68"/>
      <c r="I52" s="58">
        <f>MIN((D55-D51-D53),3500)*I51</f>
        <v>13264.991091130814</v>
      </c>
    </row>
    <row r="53" spans="1:9" x14ac:dyDescent="0.25">
      <c r="A53" s="10"/>
      <c r="B53" s="44" t="s">
        <v>20</v>
      </c>
      <c r="C53" s="81">
        <v>0.03</v>
      </c>
      <c r="D53" s="52">
        <f>C53*H25</f>
        <v>87</v>
      </c>
      <c r="E53" s="53">
        <f>D53*12</f>
        <v>1044</v>
      </c>
      <c r="F53" s="43"/>
      <c r="G53" s="10"/>
      <c r="H53" s="10"/>
      <c r="I53" s="10"/>
    </row>
    <row r="54" spans="1:9" x14ac:dyDescent="0.25">
      <c r="A54" s="10"/>
      <c r="B54" s="44" t="s">
        <v>21</v>
      </c>
      <c r="C54" s="81">
        <v>0.03</v>
      </c>
      <c r="D54" s="52">
        <f>C54*H25</f>
        <v>87</v>
      </c>
      <c r="E54" s="53">
        <f>D54*12</f>
        <v>1044</v>
      </c>
      <c r="F54" s="43"/>
      <c r="G54" s="10"/>
      <c r="H54" s="10"/>
      <c r="I54" s="10"/>
    </row>
    <row r="55" spans="1:9" x14ac:dyDescent="0.25">
      <c r="A55" s="10"/>
      <c r="B55" s="56" t="s">
        <v>115</v>
      </c>
      <c r="C55" s="56"/>
      <c r="D55" s="58">
        <f>SUM(D48:D54)</f>
        <v>2466.6118485218026</v>
      </c>
      <c r="E55" s="58">
        <f>SUM(E48:E54)</f>
        <v>29599.342182261633</v>
      </c>
      <c r="F55" s="43"/>
      <c r="G55" s="10"/>
      <c r="H55" s="10"/>
      <c r="I55" s="10"/>
    </row>
    <row r="56" spans="1:9" x14ac:dyDescent="0.25">
      <c r="A56" s="10"/>
      <c r="B56" s="10"/>
      <c r="C56" s="10"/>
      <c r="D56" s="17"/>
      <c r="E56" s="16"/>
      <c r="F56" s="43"/>
      <c r="G56" s="10"/>
      <c r="H56" s="10"/>
      <c r="I56" s="10"/>
    </row>
    <row r="57" spans="1:9" x14ac:dyDescent="0.25">
      <c r="A57" s="10"/>
      <c r="B57" s="44"/>
      <c r="C57" s="44"/>
      <c r="D57" s="50"/>
      <c r="E57" s="53"/>
      <c r="F57" s="43"/>
      <c r="G57" s="10"/>
      <c r="H57" s="10"/>
      <c r="I57" s="10"/>
    </row>
    <row r="58" spans="1:9" x14ac:dyDescent="0.25">
      <c r="A58" s="10"/>
      <c r="B58" s="18" t="s">
        <v>69</v>
      </c>
      <c r="C58" s="18"/>
      <c r="D58" s="17"/>
      <c r="E58" s="16"/>
      <c r="F58" s="10"/>
      <c r="G58" s="10"/>
      <c r="H58" s="10"/>
      <c r="I58" s="10"/>
    </row>
    <row r="59" spans="1:9" ht="55.9" customHeight="1" x14ac:dyDescent="0.25">
      <c r="A59" s="10"/>
      <c r="B59" s="111" t="s">
        <v>70</v>
      </c>
      <c r="C59" s="111"/>
      <c r="D59" s="111"/>
      <c r="E59" s="111"/>
      <c r="F59" s="111"/>
      <c r="G59" s="111"/>
      <c r="H59" s="111"/>
      <c r="I59" s="111"/>
    </row>
    <row r="60" spans="1:9" ht="18" x14ac:dyDescent="0.25">
      <c r="A60" s="10"/>
      <c r="B60" s="110" t="s">
        <v>71</v>
      </c>
      <c r="C60" s="110"/>
      <c r="D60" s="110"/>
      <c r="E60" s="110"/>
      <c r="F60" s="110"/>
      <c r="G60" s="110"/>
      <c r="H60" s="110"/>
      <c r="I60" s="110"/>
    </row>
    <row r="61" spans="1:9" x14ac:dyDescent="0.25">
      <c r="F61" s="10"/>
    </row>
    <row r="62" spans="1:9" x14ac:dyDescent="0.25">
      <c r="F62" s="10"/>
    </row>
    <row r="63" spans="1:9" x14ac:dyDescent="0.25">
      <c r="F63" s="10"/>
    </row>
    <row r="64" spans="1:9" x14ac:dyDescent="0.25">
      <c r="F64" s="10"/>
    </row>
    <row r="65" spans="6:6" x14ac:dyDescent="0.25">
      <c r="F65" s="10"/>
    </row>
    <row r="66" spans="6:6" x14ac:dyDescent="0.25">
      <c r="F66" s="10"/>
    </row>
    <row r="67" spans="6:6" x14ac:dyDescent="0.25">
      <c r="F67" s="10"/>
    </row>
    <row r="68" spans="6:6" x14ac:dyDescent="0.25">
      <c r="F68" s="10"/>
    </row>
  </sheetData>
  <sheetProtection selectLockedCells="1"/>
  <mergeCells count="6">
    <mergeCell ref="B60:I60"/>
    <mergeCell ref="B3:I3"/>
    <mergeCell ref="B1:I1"/>
    <mergeCell ref="B2:I2"/>
    <mergeCell ref="B4:I4"/>
    <mergeCell ref="B59:I59"/>
  </mergeCells>
  <pageMargins left="0.7" right="0.7" top="0.75" bottom="0.75" header="0.3" footer="0.3"/>
  <pageSetup scale="57"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8CF3207-B10D-4B80-8F02-1AE1D0E2196C}">
          <x14:formula1>
            <xm:f>DAta!$H$2:$H$7</xm:f>
          </x14:formula1>
          <xm:sqref>I51</xm:sqref>
        </x14:dataValidation>
        <x14:dataValidation type="list" allowBlank="1" showInputMessage="1" showErrorMessage="1" xr:uid="{6C9A5CE5-8D98-4AF3-AEA5-695A66A1EFAD}">
          <x14:formula1>
            <xm:f>DAta!$F$2:$F$12</xm:f>
          </x14:formula1>
          <xm:sqref>C51</xm:sqref>
        </x14:dataValidation>
        <x14:dataValidation type="list" allowBlank="1" showInputMessage="1" showErrorMessage="1" xr:uid="{C774F02B-450C-43D8-B02E-BCEC7076DE27}">
          <x14:formula1>
            <xm:f>DAta!$H$2:$H$31</xm:f>
          </x14:formula1>
          <xm:sqref>H32</xm:sqref>
        </x14:dataValidation>
        <x14:dataValidation type="list" allowBlank="1" showInputMessage="1" showErrorMessage="1" xr:uid="{9B0933B4-BBD2-4ED5-9A4E-2C7FD8C4978D}">
          <x14:formula1>
            <xm:f>DAta!$E$2:$E$11</xm:f>
          </x14:formula1>
          <xm:sqref>C54</xm:sqref>
        </x14:dataValidation>
        <x14:dataValidation type="list" allowBlank="1" showInputMessage="1" showErrorMessage="1" xr:uid="{DC98E49C-C163-443E-86C2-D08DE089F76A}">
          <x14:formula1>
            <xm:f>DAta!$C$2:$C$11</xm:f>
          </x14:formula1>
          <xm:sqref>C53</xm:sqref>
        </x14:dataValidation>
        <x14:dataValidation type="list" allowBlank="1" showInputMessage="1" showErrorMessage="1" xr:uid="{F6E919F1-45C0-410C-AAAD-2EF75E7F6EAE}">
          <x14:formula1>
            <xm:f>DAta!$A$2:$A$23</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D3F3-A1E6-45C1-8DCD-77FB45BCDC03}">
  <sheetPr>
    <pageSetUpPr fitToPage="1"/>
  </sheetPr>
  <dimension ref="A1:Z69"/>
  <sheetViews>
    <sheetView topLeftCell="A24" zoomScale="85" zoomScaleNormal="85" workbookViewId="0">
      <selection activeCell="H26" sqref="H26"/>
    </sheetView>
  </sheetViews>
  <sheetFormatPr defaultRowHeight="15" x14ac:dyDescent="0.25"/>
  <cols>
    <col min="1" max="1" width="3" customWidth="1"/>
    <col min="2" max="2" width="50.28515625" bestFit="1" customWidth="1"/>
    <col min="3" max="3" width="12.5703125" customWidth="1"/>
    <col min="4" max="4" width="12.7109375" style="8" customWidth="1"/>
    <col min="5" max="5" width="13.140625" style="9" customWidth="1"/>
    <col min="6" max="6" width="5.28515625" customWidth="1"/>
    <col min="7" max="7" width="54.42578125" customWidth="1"/>
    <col min="8" max="8" width="14.140625" bestFit="1" customWidth="1"/>
    <col min="9" max="9" width="13.140625" customWidth="1"/>
    <col min="10" max="10" width="13.42578125" bestFit="1" customWidth="1"/>
    <col min="12" max="12" width="9" style="30" customWidth="1"/>
    <col min="13" max="13" width="9.28515625" style="30" hidden="1" customWidth="1"/>
    <col min="14" max="14" width="20.28515625" style="30" hidden="1" customWidth="1"/>
    <col min="15" max="15" width="20.85546875" style="30" hidden="1" customWidth="1"/>
    <col min="16" max="16" width="23.42578125" style="30" hidden="1" customWidth="1"/>
    <col min="17" max="17" width="17.5703125" style="30" hidden="1" customWidth="1"/>
    <col min="18" max="18" width="9.5703125" style="30" hidden="1" customWidth="1"/>
    <col min="19" max="19" width="12.7109375" style="30" hidden="1" customWidth="1"/>
    <col min="20" max="20" width="12.5703125" style="30" hidden="1" customWidth="1"/>
    <col min="21" max="21" width="17.5703125" style="30" hidden="1" customWidth="1"/>
    <col min="22" max="22" width="16.42578125" style="30" hidden="1" customWidth="1"/>
    <col min="23" max="23" width="24.140625" style="30" hidden="1" customWidth="1"/>
    <col min="24" max="26" width="11" bestFit="1" customWidth="1"/>
  </cols>
  <sheetData>
    <row r="1" spans="1:23" x14ac:dyDescent="0.25">
      <c r="A1" s="10"/>
      <c r="B1" s="112"/>
      <c r="C1" s="112"/>
      <c r="D1" s="112"/>
      <c r="E1" s="112"/>
      <c r="F1" s="112"/>
      <c r="G1" s="112"/>
      <c r="H1" s="112"/>
      <c r="I1" s="112"/>
    </row>
    <row r="2" spans="1:23" x14ac:dyDescent="0.25">
      <c r="A2" s="10"/>
      <c r="B2" s="112"/>
      <c r="C2" s="112"/>
      <c r="D2" s="112"/>
      <c r="E2" s="112"/>
      <c r="F2" s="112"/>
      <c r="G2" s="112"/>
      <c r="H2" s="112"/>
      <c r="I2" s="112"/>
    </row>
    <row r="3" spans="1:23" ht="23.25" customHeight="1" x14ac:dyDescent="0.25">
      <c r="A3" s="10"/>
      <c r="B3" s="112"/>
      <c r="C3" s="112"/>
      <c r="D3" s="112"/>
      <c r="E3" s="112"/>
      <c r="F3" s="112"/>
      <c r="G3" s="112"/>
      <c r="H3" s="112"/>
      <c r="I3" s="112"/>
    </row>
    <row r="4" spans="1:23" ht="22.5" x14ac:dyDescent="0.3">
      <c r="A4" s="10"/>
      <c r="B4" s="113" t="s">
        <v>72</v>
      </c>
      <c r="C4" s="113"/>
      <c r="D4" s="113"/>
      <c r="E4" s="113"/>
      <c r="F4" s="113"/>
      <c r="G4" s="113"/>
      <c r="H4" s="113"/>
      <c r="I4" s="113"/>
      <c r="T4" s="39"/>
    </row>
    <row r="5" spans="1:23"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78</v>
      </c>
    </row>
    <row r="6" spans="1:23" ht="14.25" customHeight="1" x14ac:dyDescent="0.25">
      <c r="A6" s="10"/>
      <c r="B6" s="43"/>
      <c r="C6" s="43"/>
      <c r="D6" s="44"/>
      <c r="E6" s="45"/>
      <c r="F6" s="43"/>
      <c r="G6" s="43"/>
      <c r="H6" s="43"/>
      <c r="I6" s="43"/>
      <c r="M6" s="30">
        <v>0</v>
      </c>
    </row>
    <row r="7" spans="1:23" ht="14.25" customHeight="1" x14ac:dyDescent="0.25">
      <c r="A7" s="10"/>
      <c r="B7" s="43"/>
      <c r="C7" s="43"/>
      <c r="D7" s="44"/>
      <c r="E7" s="45"/>
      <c r="F7" s="43"/>
      <c r="G7" s="43"/>
      <c r="H7" s="43"/>
      <c r="I7" s="43"/>
      <c r="M7" s="30">
        <v>1</v>
      </c>
      <c r="N7" s="34">
        <f>T7+U7-V7</f>
        <v>-8281.9231061939936</v>
      </c>
      <c r="O7" s="35">
        <f t="shared" ref="O7:O32" si="0">N7/P7/M7</f>
        <v>-0.32766702059155367</v>
      </c>
      <c r="P7" s="36">
        <f>'Owner Occupier'!$D$38</f>
        <v>25275.42470170548</v>
      </c>
      <c r="Q7" s="37">
        <f>'Owner Occupier'!$H$30</f>
        <v>3.5000000000000003E-2</v>
      </c>
      <c r="R7" s="38">
        <f>'Owner Occupier'!$D$24</f>
        <v>391000</v>
      </c>
      <c r="S7" s="38">
        <f>'Owner Occupier'!$D$40</f>
        <v>377315</v>
      </c>
      <c r="T7" s="39">
        <f t="shared" ref="T7:T36" si="1">$R$7*(1+Q7)^M7-$R$7</f>
        <v>13684.999999999942</v>
      </c>
      <c r="U7" s="39">
        <f>S7-_xlfn.XLOOKUP($M7*12,'FHA Amotization'!$A$4:$A$363,'FHA Amotization'!$E$4:$E$363,0,0,1)</f>
        <v>6361.0268938060617</v>
      </c>
      <c r="V7" s="39">
        <f>(R7+T7)*'Owner Occupier'!$H$35</f>
        <v>28327.949999999997</v>
      </c>
      <c r="W7" s="36">
        <f t="shared" ref="W7:W36" si="2">$I$26*M7</f>
        <v>-17666.003859651973</v>
      </c>
    </row>
    <row r="8" spans="1:23" ht="14.25" customHeight="1" x14ac:dyDescent="0.25">
      <c r="A8" s="10"/>
      <c r="B8" s="43"/>
      <c r="C8" s="43"/>
      <c r="D8" s="44"/>
      <c r="E8" s="45"/>
      <c r="F8" s="43"/>
      <c r="G8" s="43"/>
      <c r="H8" s="43"/>
      <c r="I8" s="43"/>
      <c r="M8" s="30">
        <v>2</v>
      </c>
      <c r="N8" s="34">
        <f t="shared" ref="N8:N36" si="3">T8+U8-V8</f>
        <v>11527.272916573678</v>
      </c>
      <c r="O8" s="35">
        <f t="shared" si="0"/>
        <v>0.22803321907773652</v>
      </c>
      <c r="P8" s="36">
        <f>'Owner Occupier'!$D$38</f>
        <v>25275.42470170548</v>
      </c>
      <c r="Q8" s="37">
        <f>'Owner Occupier'!$H$30</f>
        <v>3.5000000000000003E-2</v>
      </c>
      <c r="R8" s="38">
        <f>'Owner Occupier'!$D$24</f>
        <v>391000</v>
      </c>
      <c r="S8" s="38">
        <f>'Owner Occupier'!$D$40</f>
        <v>377315</v>
      </c>
      <c r="T8" s="39">
        <f t="shared" si="1"/>
        <v>27848.974999999977</v>
      </c>
      <c r="U8" s="39">
        <f>S8-_xlfn.XLOOKUP($M8*12,'FHA Amotization'!$A$4:$A$363,'FHA Amotization'!$E$4:$E$363,0,0,1)</f>
        <v>12997.726166573702</v>
      </c>
      <c r="V8" s="39">
        <f>(R8+T8)*'Owner Occupier'!$H$35</f>
        <v>29319.428250000001</v>
      </c>
      <c r="W8" s="36">
        <f t="shared" si="2"/>
        <v>-35332.007719303947</v>
      </c>
    </row>
    <row r="9" spans="1:23" ht="14.25" customHeight="1" x14ac:dyDescent="0.25">
      <c r="A9" s="10"/>
      <c r="B9" s="43"/>
      <c r="C9" s="43"/>
      <c r="D9" s="44"/>
      <c r="E9" s="45"/>
      <c r="F9" s="43"/>
      <c r="G9" s="43"/>
      <c r="H9" s="43"/>
      <c r="I9" s="43"/>
      <c r="M9" s="30">
        <v>3</v>
      </c>
      <c r="N9" s="34">
        <f t="shared" si="3"/>
        <v>32085.125715906874</v>
      </c>
      <c r="O9" s="35">
        <f t="shared" si="0"/>
        <v>0.42313994844884384</v>
      </c>
      <c r="P9" s="36">
        <f>'Owner Occupier'!$D$38</f>
        <v>25275.42470170548</v>
      </c>
      <c r="Q9" s="37">
        <f>'Owner Occupier'!$H$30</f>
        <v>3.5000000000000003E-2</v>
      </c>
      <c r="R9" s="38">
        <f>'Owner Occupier'!$D$24</f>
        <v>391000</v>
      </c>
      <c r="S9" s="38">
        <f>'Owner Occupier'!$D$40</f>
        <v>377315</v>
      </c>
      <c r="T9" s="39">
        <f t="shared" si="1"/>
        <v>42508.689124999917</v>
      </c>
      <c r="U9" s="39">
        <f>S9-_xlfn.XLOOKUP($M9*12,'FHA Amotization'!$A$4:$A$363,'FHA Amotization'!$E$4:$E$363,0,0,1)</f>
        <v>19922.044829656952</v>
      </c>
      <c r="V9" s="39">
        <f>(R9+T9)*'Owner Occupier'!$H$35</f>
        <v>30345.608238749996</v>
      </c>
      <c r="W9" s="36">
        <f t="shared" si="2"/>
        <v>-52998.01157895592</v>
      </c>
    </row>
    <row r="10" spans="1:23" ht="14.25" customHeight="1" x14ac:dyDescent="0.25">
      <c r="A10" s="10"/>
      <c r="B10" s="43"/>
      <c r="C10" s="43"/>
      <c r="D10" s="44"/>
      <c r="E10" s="45"/>
      <c r="F10" s="43"/>
      <c r="G10" s="43"/>
      <c r="H10" s="43"/>
      <c r="I10" s="43"/>
      <c r="M10" s="30">
        <v>4</v>
      </c>
      <c r="N10" s="34">
        <f t="shared" si="3"/>
        <v>53420.23636786687</v>
      </c>
      <c r="O10" s="35">
        <f t="shared" si="0"/>
        <v>0.5283811943648794</v>
      </c>
      <c r="P10" s="36">
        <f>'Owner Occupier'!$D$38</f>
        <v>25275.42470170548</v>
      </c>
      <c r="Q10" s="37">
        <f>'Owner Occupier'!$H$30</f>
        <v>3.5000000000000003E-2</v>
      </c>
      <c r="R10" s="38">
        <f>'Owner Occupier'!$D$24</f>
        <v>391000</v>
      </c>
      <c r="S10" s="38">
        <f>'Owner Occupier'!$D$40</f>
        <v>377315</v>
      </c>
      <c r="T10" s="39">
        <f t="shared" si="1"/>
        <v>57681.493244374869</v>
      </c>
      <c r="U10" s="39">
        <f>S10-_xlfn.XLOOKUP($M10*12,'FHA Amotization'!$A$4:$A$363,'FHA Amotization'!$E$4:$E$363,0,0,1)</f>
        <v>27146.447650598246</v>
      </c>
      <c r="V10" s="39">
        <f>(R10+T10)*'Owner Occupier'!$H$35</f>
        <v>31407.704527106245</v>
      </c>
      <c r="W10" s="36">
        <f t="shared" si="2"/>
        <v>-70664.015438607894</v>
      </c>
    </row>
    <row r="11" spans="1:23" ht="14.25" customHeight="1" x14ac:dyDescent="0.25">
      <c r="A11" s="10"/>
      <c r="B11" s="43"/>
      <c r="C11" s="43"/>
      <c r="D11" s="44"/>
      <c r="E11" s="45"/>
      <c r="F11" s="43"/>
      <c r="G11" s="43"/>
      <c r="H11" s="43"/>
      <c r="I11" s="43"/>
      <c r="M11" s="30">
        <v>5</v>
      </c>
      <c r="N11" s="34">
        <f t="shared" si="3"/>
        <v>75562.310913872789</v>
      </c>
      <c r="O11" s="35">
        <f t="shared" si="0"/>
        <v>0.59791130559142824</v>
      </c>
      <c r="P11" s="36">
        <f>'Owner Occupier'!$D$38</f>
        <v>25275.42470170548</v>
      </c>
      <c r="Q11" s="37">
        <f>'Owner Occupier'!$H$30</f>
        <v>3.5000000000000003E-2</v>
      </c>
      <c r="R11" s="38">
        <f>'Owner Occupier'!$D$24</f>
        <v>391000</v>
      </c>
      <c r="S11" s="38">
        <f>'Owner Occupier'!$D$40</f>
        <v>377315</v>
      </c>
      <c r="T11" s="39">
        <f t="shared" si="1"/>
        <v>73385.345507927937</v>
      </c>
      <c r="U11" s="39">
        <f>S11-_xlfn.XLOOKUP($M11*12,'FHA Amotization'!$A$4:$A$363,'FHA Amotization'!$E$4:$E$363,0,0,1)</f>
        <v>34683.939591499802</v>
      </c>
      <c r="V11" s="39">
        <f>(R11+T11)*'Owner Occupier'!$H$35</f>
        <v>32506.974185554958</v>
      </c>
      <c r="W11" s="36">
        <f t="shared" si="2"/>
        <v>-88330.019298259867</v>
      </c>
    </row>
    <row r="12" spans="1:23" ht="14.25" customHeight="1" x14ac:dyDescent="0.25">
      <c r="A12" s="10"/>
      <c r="B12" s="43"/>
      <c r="C12" s="43"/>
      <c r="D12" s="44"/>
      <c r="E12" s="45"/>
      <c r="F12" s="43"/>
      <c r="G12" s="43"/>
      <c r="H12" s="43"/>
      <c r="I12" s="43"/>
      <c r="M12" s="30">
        <v>6</v>
      </c>
      <c r="N12" s="34">
        <f t="shared" si="3"/>
        <v>98542.203538478207</v>
      </c>
      <c r="O12" s="35">
        <f t="shared" si="0"/>
        <v>0.64978930259629486</v>
      </c>
      <c r="P12" s="36">
        <f>'Owner Occupier'!$D$38</f>
        <v>25275.42470170548</v>
      </c>
      <c r="Q12" s="37">
        <f>'Owner Occupier'!$H$30</f>
        <v>3.5000000000000003E-2</v>
      </c>
      <c r="R12" s="38">
        <f>'Owner Occupier'!$D$24</f>
        <v>391000</v>
      </c>
      <c r="S12" s="38">
        <f>'Owner Occupier'!$D$40</f>
        <v>377315</v>
      </c>
      <c r="T12" s="39">
        <f t="shared" si="1"/>
        <v>89638.832600705442</v>
      </c>
      <c r="U12" s="39">
        <f>S12-_xlfn.XLOOKUP($M12*12,'FHA Amotization'!$A$4:$A$363,'FHA Amotization'!$E$4:$E$363,0,0,1)</f>
        <v>42548.089219822141</v>
      </c>
      <c r="V12" s="39">
        <f>(R12+T12)*'Owner Occupier'!$H$35</f>
        <v>33644.718282049384</v>
      </c>
      <c r="W12" s="36">
        <f t="shared" si="2"/>
        <v>-105996.02315791184</v>
      </c>
    </row>
    <row r="13" spans="1:23" ht="14.25" customHeight="1" x14ac:dyDescent="0.25">
      <c r="A13" s="10"/>
      <c r="B13" s="43"/>
      <c r="C13" s="43"/>
      <c r="D13" s="44"/>
      <c r="E13" s="45"/>
      <c r="F13" s="43"/>
      <c r="G13" s="43"/>
      <c r="H13" s="43"/>
      <c r="I13" s="43"/>
      <c r="M13" s="30">
        <v>7</v>
      </c>
      <c r="N13" s="34">
        <f t="shared" si="3"/>
        <v>122391.96145356193</v>
      </c>
      <c r="O13" s="35">
        <f t="shared" si="0"/>
        <v>0.69176150859129315</v>
      </c>
      <c r="P13" s="36">
        <f>'Owner Occupier'!$D$38</f>
        <v>25275.42470170548</v>
      </c>
      <c r="Q13" s="37">
        <f>'Owner Occupier'!$H$30</f>
        <v>3.5000000000000003E-2</v>
      </c>
      <c r="R13" s="38">
        <f>'Owner Occupier'!$D$24</f>
        <v>391000</v>
      </c>
      <c r="S13" s="38">
        <f>'Owner Occupier'!$D$40</f>
        <v>377315</v>
      </c>
      <c r="T13" s="39">
        <f t="shared" si="1"/>
        <v>106461.19174173009</v>
      </c>
      <c r="U13" s="39">
        <f>S13-_xlfn.XLOOKUP($M13*12,'FHA Amotization'!$A$4:$A$363,'FHA Amotization'!$E$4:$E$363,0,0,1)</f>
        <v>50753.053133752954</v>
      </c>
      <c r="V13" s="39">
        <f>(R13+T13)*'Owner Occupier'!$H$35</f>
        <v>34822.283421921107</v>
      </c>
      <c r="W13" s="36">
        <f t="shared" si="2"/>
        <v>-123662.02701756381</v>
      </c>
    </row>
    <row r="14" spans="1:23" ht="14.25" customHeight="1" x14ac:dyDescent="0.25">
      <c r="A14" s="10"/>
      <c r="B14" s="43"/>
      <c r="C14" s="43"/>
      <c r="D14" s="44"/>
      <c r="E14" s="45"/>
      <c r="F14" s="43"/>
      <c r="G14" s="43"/>
      <c r="H14" s="43"/>
      <c r="I14" s="43"/>
      <c r="M14" s="30">
        <v>8</v>
      </c>
      <c r="N14" s="34">
        <f t="shared" si="3"/>
        <v>147144.8715571184</v>
      </c>
      <c r="O14" s="35">
        <f t="shared" si="0"/>
        <v>0.72770721606900279</v>
      </c>
      <c r="P14" s="36">
        <f>'Owner Occupier'!$D$38</f>
        <v>25275.42470170548</v>
      </c>
      <c r="Q14" s="37">
        <f>'Owner Occupier'!$H$30</f>
        <v>3.5000000000000003E-2</v>
      </c>
      <c r="R14" s="38">
        <f>'Owner Occupier'!$D$24</f>
        <v>391000</v>
      </c>
      <c r="S14" s="38">
        <f>'Owner Occupier'!$D$40</f>
        <v>377315</v>
      </c>
      <c r="T14" s="39">
        <f t="shared" si="1"/>
        <v>123872.33345269051</v>
      </c>
      <c r="U14" s="39">
        <f>S14-_xlfn.XLOOKUP($M14*12,'FHA Amotization'!$A$4:$A$363,'FHA Amotization'!$E$4:$E$363,0,0,1)</f>
        <v>59313.601446116227</v>
      </c>
      <c r="V14" s="39">
        <f>(R14+T14)*'Owner Occupier'!$H$35</f>
        <v>36041.063341688336</v>
      </c>
      <c r="W14" s="36">
        <f t="shared" si="2"/>
        <v>-141328.03087721579</v>
      </c>
    </row>
    <row r="15" spans="1:23" ht="14.25" customHeight="1" x14ac:dyDescent="0.25">
      <c r="A15" s="10"/>
      <c r="B15" s="43"/>
      <c r="C15" s="43"/>
      <c r="D15" s="44"/>
      <c r="E15" s="45"/>
      <c r="F15" s="43"/>
      <c r="G15" s="43"/>
      <c r="H15" s="43"/>
      <c r="I15" s="43"/>
      <c r="M15" s="30">
        <v>9</v>
      </c>
      <c r="N15" s="34">
        <f t="shared" si="3"/>
        <v>172835.50893758275</v>
      </c>
      <c r="O15" s="35">
        <f t="shared" si="0"/>
        <v>0.7597872504280172</v>
      </c>
      <c r="P15" s="36">
        <f>'Owner Occupier'!$D$38</f>
        <v>25275.42470170548</v>
      </c>
      <c r="Q15" s="37">
        <f>'Owner Occupier'!$H$30</f>
        <v>3.5000000000000003E-2</v>
      </c>
      <c r="R15" s="38">
        <f>'Owner Occupier'!$D$24</f>
        <v>391000</v>
      </c>
      <c r="S15" s="38">
        <f>'Owner Occupier'!$D$40</f>
        <v>377315</v>
      </c>
      <c r="T15" s="39">
        <f t="shared" si="1"/>
        <v>141892.86512353458</v>
      </c>
      <c r="U15" s="39">
        <f>S15-_xlfn.XLOOKUP($M15*12,'FHA Amotization'!$A$4:$A$363,'FHA Amotization'!$E$4:$E$363,0,0,1)</f>
        <v>68245.144372695591</v>
      </c>
      <c r="V15" s="39">
        <f>(R15+T15)*'Owner Occupier'!$H$35</f>
        <v>37302.500558647422</v>
      </c>
      <c r="W15" s="36">
        <f t="shared" si="2"/>
        <v>-158994.03473686776</v>
      </c>
    </row>
    <row r="16" spans="1:23" ht="14.25" customHeight="1" x14ac:dyDescent="0.25">
      <c r="A16" s="10"/>
      <c r="B16" s="43"/>
      <c r="C16" s="43"/>
      <c r="D16" s="44"/>
      <c r="E16" s="45"/>
      <c r="F16" s="43"/>
      <c r="G16" s="43"/>
      <c r="H16" s="43"/>
      <c r="I16" s="43"/>
      <c r="M16" s="30">
        <v>10</v>
      </c>
      <c r="N16" s="34">
        <f t="shared" si="3"/>
        <v>199499.78729749253</v>
      </c>
      <c r="O16" s="35">
        <f t="shared" si="0"/>
        <v>0.78930340301672997</v>
      </c>
      <c r="P16" s="36">
        <f>'Owner Occupier'!$D$38</f>
        <v>25275.42470170548</v>
      </c>
      <c r="Q16" s="37">
        <f>'Owner Occupier'!$H$30</f>
        <v>3.5000000000000003E-2</v>
      </c>
      <c r="R16" s="38">
        <f>'Owner Occupier'!$D$24</f>
        <v>391000</v>
      </c>
      <c r="S16" s="38">
        <f>'Owner Occupier'!$D$40</f>
        <v>377315</v>
      </c>
      <c r="T16" s="39">
        <f t="shared" si="1"/>
        <v>160544.11540285836</v>
      </c>
      <c r="U16" s="39">
        <f>S16-_xlfn.XLOOKUP($M16*12,'FHA Amotization'!$A$4:$A$363,'FHA Amotization'!$E$4:$E$363,0,0,1)</f>
        <v>77563.759972834261</v>
      </c>
      <c r="V16" s="39">
        <f>(R16+T16)*'Owner Occupier'!$H$35</f>
        <v>38608.08807820009</v>
      </c>
      <c r="W16" s="36">
        <f t="shared" si="2"/>
        <v>-176660.03859651973</v>
      </c>
    </row>
    <row r="17" spans="1:26" ht="14.25" customHeight="1" x14ac:dyDescent="0.25">
      <c r="A17" s="10"/>
      <c r="B17" s="43"/>
      <c r="C17" s="43"/>
      <c r="D17" s="44"/>
      <c r="E17" s="45"/>
      <c r="F17" s="43"/>
      <c r="G17" s="43"/>
      <c r="H17" s="43"/>
      <c r="I17" s="43"/>
      <c r="M17" s="30">
        <v>11</v>
      </c>
      <c r="N17" s="34">
        <f t="shared" si="3"/>
        <v>227175.01137327144</v>
      </c>
      <c r="O17" s="35">
        <f t="shared" si="0"/>
        <v>0.81708908969640248</v>
      </c>
      <c r="P17" s="36">
        <f>'Owner Occupier'!$D$38</f>
        <v>25275.42470170548</v>
      </c>
      <c r="Q17" s="37">
        <f>'Owner Occupier'!$H$30</f>
        <v>3.5000000000000003E-2</v>
      </c>
      <c r="R17" s="38">
        <f>'Owner Occupier'!$D$24</f>
        <v>391000</v>
      </c>
      <c r="S17" s="38">
        <f>'Owner Occupier'!$D$40</f>
        <v>377315</v>
      </c>
      <c r="T17" s="39">
        <f t="shared" si="1"/>
        <v>179848.15944195841</v>
      </c>
      <c r="U17" s="39">
        <f>S17-_xlfn.XLOOKUP($M17*12,'FHA Amotization'!$A$4:$A$363,'FHA Amotization'!$E$4:$E$363,0,0,1)</f>
        <v>87286.223092250118</v>
      </c>
      <c r="V17" s="39">
        <f>(R17+T17)*'Owner Occupier'!$H$35</f>
        <v>39959.371160937095</v>
      </c>
      <c r="W17" s="36">
        <f t="shared" si="2"/>
        <v>-194326.04245617171</v>
      </c>
    </row>
    <row r="18" spans="1:26" ht="14.25" customHeight="1" x14ac:dyDescent="0.25">
      <c r="A18" s="10"/>
      <c r="B18" s="43"/>
      <c r="C18" s="43"/>
      <c r="D18" s="44"/>
      <c r="E18" s="45"/>
      <c r="F18" s="43"/>
      <c r="G18" s="43"/>
      <c r="H18" s="43"/>
      <c r="I18" s="43"/>
      <c r="M18" s="30">
        <v>12</v>
      </c>
      <c r="N18" s="34">
        <f t="shared" si="3"/>
        <v>255899.93143102297</v>
      </c>
      <c r="O18" s="35">
        <f t="shared" si="0"/>
        <v>0.84370468696732359</v>
      </c>
      <c r="P18" s="36">
        <f>'Owner Occupier'!$D$38</f>
        <v>25275.42470170548</v>
      </c>
      <c r="Q18" s="37">
        <f>'Owner Occupier'!$H$30</f>
        <v>3.5000000000000003E-2</v>
      </c>
      <c r="R18" s="38">
        <f>'Owner Occupier'!$D$24</f>
        <v>391000</v>
      </c>
      <c r="S18" s="38">
        <f>'Owner Occupier'!$D$40</f>
        <v>377315</v>
      </c>
      <c r="T18" s="39">
        <f t="shared" si="1"/>
        <v>199827.84502242692</v>
      </c>
      <c r="U18" s="39">
        <f>S18-_xlfn.XLOOKUP($M18*12,'FHA Amotization'!$A$4:$A$363,'FHA Amotization'!$E$4:$E$363,0,0,1)</f>
        <v>97430.035560165939</v>
      </c>
      <c r="V18" s="39">
        <f>(R18+T18)*'Owner Occupier'!$H$35</f>
        <v>41357.94915156989</v>
      </c>
      <c r="W18" s="36">
        <f t="shared" si="2"/>
        <v>-211992.04631582368</v>
      </c>
    </row>
    <row r="19" spans="1:26" ht="14.25" customHeight="1" x14ac:dyDescent="0.25">
      <c r="A19" s="10"/>
      <c r="B19" s="43"/>
      <c r="C19" s="43"/>
      <c r="D19" s="44"/>
      <c r="E19" s="45"/>
      <c r="F19" s="43"/>
      <c r="G19" s="43"/>
      <c r="H19" s="43"/>
      <c r="I19" s="43"/>
      <c r="M19" s="30">
        <v>13</v>
      </c>
      <c r="N19" s="34">
        <f t="shared" si="3"/>
        <v>285714.79992145125</v>
      </c>
      <c r="O19" s="35">
        <f t="shared" si="0"/>
        <v>0.86954271953089435</v>
      </c>
      <c r="P19" s="36">
        <f>'Owner Occupier'!$D$38</f>
        <v>25275.42470170548</v>
      </c>
      <c r="Q19" s="37">
        <f>'Owner Occupier'!$H$30</f>
        <v>3.5000000000000003E-2</v>
      </c>
      <c r="R19" s="38">
        <f>'Owner Occupier'!$D$24</f>
        <v>391000</v>
      </c>
      <c r="S19" s="38">
        <f>'Owner Occupier'!$D$40</f>
        <v>377315</v>
      </c>
      <c r="T19" s="39">
        <f t="shared" si="1"/>
        <v>220506.81959821167</v>
      </c>
      <c r="U19" s="39">
        <f>S19-_xlfn.XLOOKUP($M19*12,'FHA Amotization'!$A$4:$A$363,'FHA Amotization'!$E$4:$E$363,0,0,1)</f>
        <v>108013.45769511437</v>
      </c>
      <c r="V19" s="39">
        <f>(R19+T19)*'Owner Occupier'!$H$35</f>
        <v>42805.477371874818</v>
      </c>
      <c r="W19" s="36">
        <f t="shared" si="2"/>
        <v>-229658.05017547566</v>
      </c>
    </row>
    <row r="20" spans="1:26" ht="14.25" customHeight="1" x14ac:dyDescent="0.25">
      <c r="A20" s="10"/>
      <c r="B20" s="43"/>
      <c r="C20" s="43"/>
      <c r="D20" s="44"/>
      <c r="E20" s="45"/>
      <c r="F20" s="43"/>
      <c r="G20" s="43"/>
      <c r="H20" s="43"/>
      <c r="I20" s="43"/>
      <c r="M20" s="30">
        <v>14</v>
      </c>
      <c r="N20" s="34">
        <f t="shared" si="3"/>
        <v>316661.43038039072</v>
      </c>
      <c r="O20" s="35">
        <f t="shared" si="0"/>
        <v>0.89488797381407104</v>
      </c>
      <c r="P20" s="36">
        <f>'Owner Occupier'!$D$38</f>
        <v>25275.42470170548</v>
      </c>
      <c r="Q20" s="37">
        <f>'Owner Occupier'!$H$30</f>
        <v>3.5000000000000003E-2</v>
      </c>
      <c r="R20" s="38">
        <f>'Owner Occupier'!$D$24</f>
        <v>391000</v>
      </c>
      <c r="S20" s="38">
        <f>'Owner Occupier'!$D$40</f>
        <v>377315</v>
      </c>
      <c r="T20" s="39">
        <f t="shared" si="1"/>
        <v>241909.55828414916</v>
      </c>
      <c r="U20" s="39">
        <f>S20-_xlfn.XLOOKUP($M20*12,'FHA Amotization'!$A$4:$A$363,'FHA Amotization'!$E$4:$E$363,0,0,1)</f>
        <v>119055.54117613198</v>
      </c>
      <c r="V20" s="39">
        <f>(R20+T20)*'Owner Occupier'!$H$35</f>
        <v>44303.669079890446</v>
      </c>
      <c r="W20" s="36">
        <f t="shared" si="2"/>
        <v>-247324.05403512763</v>
      </c>
    </row>
    <row r="21" spans="1:26" ht="14.25" customHeight="1" x14ac:dyDescent="0.25">
      <c r="A21" s="10"/>
      <c r="B21" s="43"/>
      <c r="C21" s="43"/>
      <c r="D21" s="44"/>
      <c r="E21" s="45"/>
      <c r="F21" s="43"/>
      <c r="G21" s="43"/>
      <c r="H21" s="43"/>
      <c r="I21" s="43"/>
      <c r="M21" s="40">
        <v>15</v>
      </c>
      <c r="N21" s="34">
        <f t="shared" si="3"/>
        <v>348783.25866492465</v>
      </c>
      <c r="O21" s="35">
        <f t="shared" si="0"/>
        <v>0.91995357224440022</v>
      </c>
      <c r="P21" s="36">
        <f>'Owner Occupier'!$D$38</f>
        <v>25275.42470170548</v>
      </c>
      <c r="Q21" s="37">
        <f>'Owner Occupier'!$H$30</f>
        <v>3.5000000000000003E-2</v>
      </c>
      <c r="R21" s="38">
        <f>'Owner Occupier'!$D$24</f>
        <v>391000</v>
      </c>
      <c r="S21" s="38">
        <f>'Owner Occupier'!$D$40</f>
        <v>377315</v>
      </c>
      <c r="T21" s="39">
        <f t="shared" si="1"/>
        <v>264061.39282409428</v>
      </c>
      <c r="U21" s="39">
        <f>S21-_xlfn.XLOOKUP($M21*12,'FHA Amotization'!$A$4:$A$363,'FHA Amotization'!$E$4:$E$363,0,0,1)</f>
        <v>130576.16333851698</v>
      </c>
      <c r="V21" s="39">
        <f>(R21+T21)*'Owner Occupier'!$H$35</f>
        <v>45854.297497686603</v>
      </c>
      <c r="W21" s="36">
        <f t="shared" si="2"/>
        <v>-264990.0578947796</v>
      </c>
      <c r="X21" s="85"/>
      <c r="Y21" s="86"/>
      <c r="Z21" s="85"/>
    </row>
    <row r="22" spans="1:26" ht="14.25" customHeight="1" x14ac:dyDescent="0.25">
      <c r="A22" s="10"/>
      <c r="B22" s="43"/>
      <c r="C22" s="43"/>
      <c r="D22" s="44"/>
      <c r="E22" s="45"/>
      <c r="F22" s="43"/>
      <c r="G22" s="43"/>
      <c r="H22" s="43"/>
      <c r="I22" s="43"/>
      <c r="M22" s="30">
        <v>16</v>
      </c>
      <c r="N22" s="34">
        <f t="shared" si="3"/>
        <v>382125.40661871753</v>
      </c>
      <c r="O22" s="35">
        <f t="shared" si="0"/>
        <v>0.94490352567877256</v>
      </c>
      <c r="P22" s="36">
        <f>'Owner Occupier'!$D$38</f>
        <v>25275.42470170548</v>
      </c>
      <c r="Q22" s="37">
        <f>'Owner Occupier'!$H$30</f>
        <v>3.5000000000000003E-2</v>
      </c>
      <c r="R22" s="38">
        <f>'Owner Occupier'!$D$24</f>
        <v>391000</v>
      </c>
      <c r="S22" s="38">
        <f>'Owner Occupier'!$D$40</f>
        <v>377315</v>
      </c>
      <c r="T22" s="39">
        <f t="shared" si="1"/>
        <v>286988.54157293751</v>
      </c>
      <c r="U22" s="39">
        <f>S22-_xlfn.XLOOKUP($M22*12,'FHA Amotization'!$A$4:$A$363,'FHA Amotization'!$E$4:$E$363,0,0,1)</f>
        <v>142596.06295588566</v>
      </c>
      <c r="V22" s="39">
        <f>(R22+T22)*'Owner Occupier'!$H$35</f>
        <v>47459.197910105628</v>
      </c>
      <c r="W22" s="36">
        <f t="shared" si="2"/>
        <v>-282656.06175443158</v>
      </c>
    </row>
    <row r="23" spans="1:26" ht="18" x14ac:dyDescent="0.25">
      <c r="A23" s="10"/>
      <c r="B23" s="46" t="s">
        <v>0</v>
      </c>
      <c r="C23" s="46"/>
      <c r="D23" s="47"/>
      <c r="E23" s="48"/>
      <c r="F23" s="49"/>
      <c r="G23" s="46" t="s">
        <v>23</v>
      </c>
      <c r="H23" s="48" t="s">
        <v>11</v>
      </c>
      <c r="I23" s="48" t="s">
        <v>12</v>
      </c>
      <c r="M23" s="30">
        <v>17</v>
      </c>
      <c r="N23" s="34">
        <f t="shared" si="3"/>
        <v>416734.74826397293</v>
      </c>
      <c r="O23" s="35">
        <f t="shared" si="0"/>
        <v>0.96986733203165842</v>
      </c>
      <c r="P23" s="36">
        <f>'Owner Occupier'!$D$38</f>
        <v>25275.42470170548</v>
      </c>
      <c r="Q23" s="37">
        <f>'Owner Occupier'!$H$30</f>
        <v>3.5000000000000003E-2</v>
      </c>
      <c r="R23" s="38">
        <f>'Owner Occupier'!$D$24</f>
        <v>391000</v>
      </c>
      <c r="S23" s="38">
        <f>'Owner Occupier'!$D$40</f>
        <v>377315</v>
      </c>
      <c r="T23" s="39">
        <f t="shared" si="1"/>
        <v>310718.1405279903</v>
      </c>
      <c r="U23" s="39">
        <f>S23-_xlfn.XLOOKUP($M23*12,'FHA Amotization'!$A$4:$A$363,'FHA Amotization'!$E$4:$E$363,0,0,1)</f>
        <v>155136.87757294194</v>
      </c>
      <c r="V23" s="39">
        <f>(R23+T23)*'Owner Occupier'!$H$35</f>
        <v>49120.269836959327</v>
      </c>
      <c r="W23" s="36">
        <f t="shared" si="2"/>
        <v>-300322.06561408355</v>
      </c>
    </row>
    <row r="24" spans="1:26" x14ac:dyDescent="0.25">
      <c r="A24" s="10"/>
      <c r="B24" s="56" t="s">
        <v>84</v>
      </c>
      <c r="C24" s="56"/>
      <c r="D24" s="61">
        <f>Summary!E8</f>
        <v>391000</v>
      </c>
      <c r="E24" s="45"/>
      <c r="F24" s="43"/>
      <c r="G24" s="44" t="s">
        <v>134</v>
      </c>
      <c r="H24" s="50">
        <f>Summary!E11</f>
        <v>1450</v>
      </c>
      <c r="I24" s="53">
        <f t="shared" ref="I24" si="4">H24*12</f>
        <v>17400</v>
      </c>
      <c r="M24" s="30">
        <v>18</v>
      </c>
      <c r="N24" s="34">
        <f t="shared" si="3"/>
        <v>452659.97862138069</v>
      </c>
      <c r="O24" s="35">
        <f t="shared" si="0"/>
        <v>0.99494971447027103</v>
      </c>
      <c r="P24" s="36">
        <f>'Owner Occupier'!$D$38</f>
        <v>25275.42470170548</v>
      </c>
      <c r="Q24" s="37">
        <f>'Owner Occupier'!$H$30</f>
        <v>3.5000000000000003E-2</v>
      </c>
      <c r="R24" s="38">
        <f>'Owner Occupier'!$D$24</f>
        <v>391000</v>
      </c>
      <c r="S24" s="38">
        <f>'Owner Occupier'!$D$40</f>
        <v>377315</v>
      </c>
      <c r="T24" s="39">
        <f t="shared" si="1"/>
        <v>335278.2754464699</v>
      </c>
      <c r="U24" s="39">
        <f>S24-_xlfn.XLOOKUP($M24*12,'FHA Amotization'!$A$4:$A$363,'FHA Amotization'!$E$4:$E$363,0,0,1)</f>
        <v>168221.18245616369</v>
      </c>
      <c r="V24" s="39">
        <f>(R24+T24)*'Owner Occupier'!$H$35</f>
        <v>50839.479281252898</v>
      </c>
      <c r="W24" s="36">
        <f t="shared" si="2"/>
        <v>-317988.06947373552</v>
      </c>
    </row>
    <row r="25" spans="1:26" x14ac:dyDescent="0.25">
      <c r="A25" s="10"/>
      <c r="B25" s="56" t="s">
        <v>89</v>
      </c>
      <c r="C25" s="56"/>
      <c r="D25" s="61">
        <f>I24</f>
        <v>17400</v>
      </c>
      <c r="E25" s="45"/>
      <c r="F25" s="43"/>
      <c r="G25" s="44" t="s">
        <v>115</v>
      </c>
      <c r="H25" s="50">
        <f>D56</f>
        <v>2922.1669883043314</v>
      </c>
      <c r="I25" s="53">
        <f>E56</f>
        <v>35066.003859651973</v>
      </c>
      <c r="M25" s="30">
        <v>19</v>
      </c>
      <c r="N25" s="34">
        <f t="shared" si="3"/>
        <v>489951.68526352255</v>
      </c>
      <c r="O25" s="35">
        <f t="shared" si="0"/>
        <v>1.0202372900821444</v>
      </c>
      <c r="P25" s="36">
        <f>'Owner Occupier'!$D$38</f>
        <v>25275.42470170548</v>
      </c>
      <c r="Q25" s="37">
        <f>'Owner Occupier'!$H$30</f>
        <v>3.5000000000000003E-2</v>
      </c>
      <c r="R25" s="38">
        <f>'Owner Occupier'!$D$24</f>
        <v>391000</v>
      </c>
      <c r="S25" s="38">
        <f>'Owner Occupier'!$D$40</f>
        <v>377315</v>
      </c>
      <c r="T25" s="39">
        <f t="shared" si="1"/>
        <v>360698.01508709625</v>
      </c>
      <c r="U25" s="39">
        <f>S25-_xlfn.XLOOKUP($M25*12,'FHA Amotization'!$A$4:$A$363,'FHA Amotization'!$E$4:$E$363,0,0,1)</f>
        <v>181872.53123252306</v>
      </c>
      <c r="V25" s="39">
        <f>(R25+T25)*'Owner Occupier'!$H$35</f>
        <v>52618.861056096743</v>
      </c>
      <c r="W25" s="36">
        <f t="shared" si="2"/>
        <v>-335654.0733333875</v>
      </c>
    </row>
    <row r="26" spans="1:26" x14ac:dyDescent="0.25">
      <c r="A26" s="10"/>
      <c r="B26" s="56" t="s">
        <v>77</v>
      </c>
      <c r="C26" s="56"/>
      <c r="D26" s="61">
        <f>D38</f>
        <v>25275.42470170548</v>
      </c>
      <c r="E26" s="45"/>
      <c r="F26" s="43"/>
      <c r="G26" s="56" t="s">
        <v>130</v>
      </c>
      <c r="H26" s="58">
        <f>H24-H25</f>
        <v>-1472.1669883043314</v>
      </c>
      <c r="I26" s="59">
        <f>I24-I25</f>
        <v>-17666.003859651973</v>
      </c>
      <c r="M26" s="30">
        <v>20</v>
      </c>
      <c r="N26" s="34">
        <f t="shared" si="3"/>
        <v>528662.42271148029</v>
      </c>
      <c r="O26" s="35">
        <f t="shared" si="0"/>
        <v>1.0458032435668794</v>
      </c>
      <c r="P26" s="36">
        <f>'Owner Occupier'!$D$38</f>
        <v>25275.42470170548</v>
      </c>
      <c r="Q26" s="37">
        <f>'Owner Occupier'!$H$30</f>
        <v>3.5000000000000003E-2</v>
      </c>
      <c r="R26" s="38">
        <f>'Owner Occupier'!$D$24</f>
        <v>391000</v>
      </c>
      <c r="S26" s="38">
        <f>'Owner Occupier'!$D$40</f>
        <v>377315</v>
      </c>
      <c r="T26" s="39">
        <f t="shared" si="1"/>
        <v>387007.44561514445</v>
      </c>
      <c r="U26" s="39">
        <f>S26-_xlfn.XLOOKUP($M26*12,'FHA Amotization'!$A$4:$A$363,'FHA Amotization'!$E$4:$E$363,0,0,1)</f>
        <v>196115.49828939591</v>
      </c>
      <c r="V26" s="39">
        <f>(R26+T26)*'Owner Occupier'!$H$35</f>
        <v>54460.521193060114</v>
      </c>
      <c r="W26" s="36">
        <f t="shared" si="2"/>
        <v>-353320.07719303947</v>
      </c>
    </row>
    <row r="27" spans="1:26" x14ac:dyDescent="0.25">
      <c r="A27" s="10"/>
      <c r="B27" s="56" t="s">
        <v>133</v>
      </c>
      <c r="C27" s="56"/>
      <c r="D27" s="61">
        <f>H26</f>
        <v>-1472.1669883043314</v>
      </c>
      <c r="E27" s="45"/>
      <c r="F27" s="43"/>
      <c r="G27" s="56" t="s">
        <v>131</v>
      </c>
      <c r="H27" s="58">
        <f>H24-H25+D54+D55</f>
        <v>-1385.1669883043314</v>
      </c>
      <c r="I27" s="58">
        <f>I24-I25+E54+E55</f>
        <v>-16622.003859651973</v>
      </c>
      <c r="M27" s="30">
        <v>21</v>
      </c>
      <c r="N27" s="34">
        <f t="shared" si="3"/>
        <v>568846.78978884383</v>
      </c>
      <c r="O27" s="35">
        <f t="shared" si="0"/>
        <v>1.0717106711591495</v>
      </c>
      <c r="P27" s="36">
        <f>'Owner Occupier'!$D$38</f>
        <v>25275.42470170548</v>
      </c>
      <c r="Q27" s="37">
        <f>'Owner Occupier'!$H$30</f>
        <v>3.5000000000000003E-2</v>
      </c>
      <c r="R27" s="38">
        <f>'Owner Occupier'!$D$24</f>
        <v>391000</v>
      </c>
      <c r="S27" s="38">
        <f>'Owner Occupier'!$D$40</f>
        <v>377315</v>
      </c>
      <c r="T27" s="39">
        <f t="shared" si="1"/>
        <v>414237.70621167438</v>
      </c>
      <c r="U27" s="39">
        <f>S27-_xlfn.XLOOKUP($M27*12,'FHA Amotization'!$A$4:$A$363,'FHA Amotization'!$E$4:$E$363,0,0,1)</f>
        <v>210975.7230119867</v>
      </c>
      <c r="V27" s="39">
        <f>(R27+T27)*'Owner Occupier'!$H$35</f>
        <v>56366.639434817211</v>
      </c>
      <c r="W27" s="36">
        <f t="shared" si="2"/>
        <v>-370986.08105269144</v>
      </c>
    </row>
    <row r="28" spans="1:26" x14ac:dyDescent="0.25">
      <c r="A28" s="10"/>
      <c r="B28" s="56" t="s">
        <v>132</v>
      </c>
      <c r="C28" s="56"/>
      <c r="D28" s="61">
        <f>H27</f>
        <v>-1385.1669883043314</v>
      </c>
      <c r="E28" s="45"/>
      <c r="F28" s="43"/>
      <c r="G28" s="10"/>
      <c r="H28" s="10"/>
      <c r="I28" s="10"/>
      <c r="M28" s="30">
        <v>22</v>
      </c>
      <c r="N28" s="34">
        <f t="shared" si="3"/>
        <v>610561.51005194953</v>
      </c>
      <c r="O28" s="35">
        <f t="shared" si="0"/>
        <v>1.0980150181049029</v>
      </c>
      <c r="P28" s="36">
        <f>'Owner Occupier'!$D$38</f>
        <v>25275.42470170548</v>
      </c>
      <c r="Q28" s="37">
        <f>'Owner Occupier'!$H$30</f>
        <v>3.5000000000000003E-2</v>
      </c>
      <c r="R28" s="38">
        <f>'Owner Occupier'!$D$24</f>
        <v>391000</v>
      </c>
      <c r="S28" s="38">
        <f>'Owner Occupier'!$D$40</f>
        <v>377315</v>
      </c>
      <c r="T28" s="39">
        <f t="shared" si="1"/>
        <v>442421.025929083</v>
      </c>
      <c r="U28" s="39">
        <f>S28-_xlfn.XLOOKUP($M28*12,'FHA Amotization'!$A$4:$A$363,'FHA Amotization'!$E$4:$E$363,0,0,1)</f>
        <v>226479.9559379023</v>
      </c>
      <c r="V28" s="39">
        <f>(R28+T28)*'Owner Occupier'!$H$35</f>
        <v>58339.471815035817</v>
      </c>
      <c r="W28" s="36">
        <f t="shared" si="2"/>
        <v>-388652.08491234342</v>
      </c>
    </row>
    <row r="29" spans="1:26" ht="18" x14ac:dyDescent="0.25">
      <c r="A29" s="10"/>
      <c r="B29" s="56" t="s">
        <v>113</v>
      </c>
      <c r="C29" s="56"/>
      <c r="D29" s="73">
        <f>H34</f>
        <v>62836.549577936312</v>
      </c>
      <c r="E29" s="45"/>
      <c r="F29" s="43"/>
      <c r="G29" s="46" t="s">
        <v>25</v>
      </c>
      <c r="H29" s="48"/>
      <c r="I29" s="48"/>
      <c r="M29" s="30">
        <v>23</v>
      </c>
      <c r="N29" s="34">
        <f t="shared" si="3"/>
        <v>653865.51541999821</v>
      </c>
      <c r="O29" s="35">
        <f t="shared" si="0"/>
        <v>1.1247658857785736</v>
      </c>
      <c r="P29" s="36">
        <f>'Owner Occupier'!$D$38</f>
        <v>25275.42470170548</v>
      </c>
      <c r="Q29" s="37">
        <f>'Owner Occupier'!$H$30</f>
        <v>3.5000000000000003E-2</v>
      </c>
      <c r="R29" s="38">
        <f>'Owner Occupier'!$D$24</f>
        <v>391000</v>
      </c>
      <c r="S29" s="38">
        <f>'Owner Occupier'!$D$40</f>
        <v>377315</v>
      </c>
      <c r="T29" s="39">
        <f t="shared" si="1"/>
        <v>471590.76183660096</v>
      </c>
      <c r="U29" s="39">
        <f>S29-_xlfn.XLOOKUP($M29*12,'FHA Amotization'!$A$4:$A$363,'FHA Amotization'!$E$4:$E$363,0,0,1)</f>
        <v>242656.10691195939</v>
      </c>
      <c r="V29" s="39">
        <f>(R29+T29)*'Owner Occupier'!$H$35</f>
        <v>60381.353328562072</v>
      </c>
      <c r="W29" s="36">
        <f t="shared" si="2"/>
        <v>-406318.08877199539</v>
      </c>
    </row>
    <row r="30" spans="1:26" x14ac:dyDescent="0.25">
      <c r="A30" s="10"/>
      <c r="B30" s="56" t="s">
        <v>76</v>
      </c>
      <c r="C30" s="56"/>
      <c r="D30" s="77">
        <f>H32</f>
        <v>264061.39282409428</v>
      </c>
      <c r="E30" s="45"/>
      <c r="F30" s="43"/>
      <c r="G30" s="44" t="s">
        <v>79</v>
      </c>
      <c r="H30" s="62">
        <f>Summary!E12</f>
        <v>3.5000000000000003E-2</v>
      </c>
      <c r="I30" s="45"/>
      <c r="M30" s="30">
        <v>24</v>
      </c>
      <c r="N30" s="34">
        <f t="shared" si="3"/>
        <v>698820.03313373181</v>
      </c>
      <c r="O30" s="35">
        <f t="shared" si="0"/>
        <v>1.1520083925081359</v>
      </c>
      <c r="P30" s="36">
        <f>'Owner Occupier'!$D$38</f>
        <v>25275.42470170548</v>
      </c>
      <c r="Q30" s="37">
        <f>'Owner Occupier'!$H$30</f>
        <v>3.5000000000000003E-2</v>
      </c>
      <c r="R30" s="38">
        <f>'Owner Occupier'!$D$24</f>
        <v>391000</v>
      </c>
      <c r="S30" s="38">
        <f>'Owner Occupier'!$D$40</f>
        <v>377315</v>
      </c>
      <c r="T30" s="39">
        <f t="shared" si="1"/>
        <v>501781.43850088178</v>
      </c>
      <c r="U30" s="39">
        <f>S30-_xlfn.XLOOKUP($M30*12,'FHA Amotization'!$A$4:$A$363,'FHA Amotization'!$E$4:$E$363,0,0,1)</f>
        <v>259533.29532791168</v>
      </c>
      <c r="V30" s="39">
        <f>(R30+T30)*'Owner Occupier'!$H$35</f>
        <v>62494.700695061729</v>
      </c>
      <c r="W30" s="36">
        <f t="shared" si="2"/>
        <v>-423984.09263164736</v>
      </c>
    </row>
    <row r="31" spans="1:26" x14ac:dyDescent="0.25">
      <c r="A31" s="10"/>
      <c r="B31" s="56" t="s">
        <v>3</v>
      </c>
      <c r="C31" s="56"/>
      <c r="D31" s="61">
        <f>H37</f>
        <v>281043.64490434399</v>
      </c>
      <c r="E31" s="45"/>
      <c r="F31" s="43"/>
      <c r="G31" s="44" t="s">
        <v>27</v>
      </c>
      <c r="H31" s="79">
        <f>Summary!E13</f>
        <v>15</v>
      </c>
      <c r="I31" s="45"/>
      <c r="M31" s="30">
        <v>25</v>
      </c>
      <c r="N31" s="34">
        <f t="shared" si="3"/>
        <v>745488.67617656209</v>
      </c>
      <c r="O31" s="35">
        <f t="shared" si="0"/>
        <v>1.1797842132817014</v>
      </c>
      <c r="P31" s="36">
        <f>'Owner Occupier'!$D$38</f>
        <v>25275.42470170548</v>
      </c>
      <c r="Q31" s="37">
        <f>'Owner Occupier'!$H$30</f>
        <v>3.5000000000000003E-2</v>
      </c>
      <c r="R31" s="38">
        <f>'Owner Occupier'!$D$24</f>
        <v>391000</v>
      </c>
      <c r="S31" s="38">
        <f>'Owner Occupier'!$D$40</f>
        <v>377315</v>
      </c>
      <c r="T31" s="39">
        <f t="shared" si="1"/>
        <v>533028.78884841257</v>
      </c>
      <c r="U31" s="39">
        <f>S31-_xlfn.XLOOKUP($M31*12,'FHA Amotization'!$A$4:$A$363,'FHA Amotization'!$E$4:$E$363,0,0,1)</f>
        <v>277141.9025475384</v>
      </c>
      <c r="V31" s="39">
        <f>(R31+T31)*'Owner Occupier'!$H$35</f>
        <v>64682.015219388886</v>
      </c>
      <c r="W31" s="36">
        <f t="shared" si="2"/>
        <v>-441650.09649129934</v>
      </c>
    </row>
    <row r="32" spans="1:26" x14ac:dyDescent="0.25">
      <c r="A32" s="10"/>
      <c r="B32" s="56" t="s">
        <v>4</v>
      </c>
      <c r="C32" s="19"/>
      <c r="D32" s="89">
        <f>H38</f>
        <v>0.7412830136285975</v>
      </c>
      <c r="E32" s="16"/>
      <c r="F32" s="43"/>
      <c r="G32" s="56" t="str">
        <f>CONCATENATE("Appreciation After ",H31," Years")</f>
        <v>Appreciation After 15 Years</v>
      </c>
      <c r="H32" s="58">
        <f>$D$34*(1+H30)^H31-$D$34</f>
        <v>264061.39282409428</v>
      </c>
      <c r="I32" s="45"/>
      <c r="M32" s="30">
        <v>26</v>
      </c>
      <c r="N32" s="34">
        <f t="shared" si="3"/>
        <v>793937.53729749634</v>
      </c>
      <c r="O32" s="35">
        <f t="shared" si="0"/>
        <v>1.2081323850026675</v>
      </c>
      <c r="P32" s="36">
        <f>'Owner Occupier'!$D$38</f>
        <v>25275.42470170548</v>
      </c>
      <c r="Q32" s="37">
        <f>'Owner Occupier'!$H$30</f>
        <v>3.5000000000000003E-2</v>
      </c>
      <c r="R32" s="38">
        <f>'Owner Occupier'!$D$24</f>
        <v>391000</v>
      </c>
      <c r="S32" s="38">
        <f>'Owner Occupier'!$D$40</f>
        <v>377315</v>
      </c>
      <c r="T32" s="39">
        <f t="shared" si="1"/>
        <v>565369.79645810695</v>
      </c>
      <c r="U32" s="39">
        <f>S32-_xlfn.XLOOKUP($M32*12,'FHA Amotization'!$A$4:$A$363,'FHA Amotization'!$E$4:$E$363,0,0,1)</f>
        <v>295513.62659145676</v>
      </c>
      <c r="V32" s="39">
        <f>(R32+T32)*'Owner Occupier'!$H$35</f>
        <v>66945.885752067494</v>
      </c>
      <c r="W32" s="36">
        <f t="shared" si="2"/>
        <v>-459316.10035095131</v>
      </c>
    </row>
    <row r="33" spans="1:23" ht="18" x14ac:dyDescent="0.25">
      <c r="A33" s="10"/>
      <c r="B33" s="46" t="s">
        <v>6</v>
      </c>
      <c r="C33" s="46"/>
      <c r="D33" s="47"/>
      <c r="E33" s="48"/>
      <c r="F33" s="43"/>
      <c r="G33" s="56"/>
      <c r="H33" s="64"/>
      <c r="I33" s="45"/>
      <c r="M33" s="30">
        <v>27</v>
      </c>
      <c r="N33" s="34">
        <f t="shared" si="3"/>
        <v>844235.28678085993</v>
      </c>
      <c r="O33" s="35">
        <f>N33/P33/M33</f>
        <v>1.2370899382896012</v>
      </c>
      <c r="P33" s="36">
        <f>'Owner Occupier'!$D$38</f>
        <v>25275.42470170548</v>
      </c>
      <c r="Q33" s="37">
        <f>'Owner Occupier'!$H$30</f>
        <v>3.5000000000000003E-2</v>
      </c>
      <c r="R33" s="38">
        <f>'Owner Occupier'!$D$24</f>
        <v>391000</v>
      </c>
      <c r="S33" s="38">
        <f>'Owner Occupier'!$D$40</f>
        <v>377315</v>
      </c>
      <c r="T33" s="39">
        <f t="shared" si="1"/>
        <v>598842.73933414079</v>
      </c>
      <c r="U33" s="39">
        <f>S33-_xlfn.XLOOKUP($M33*12,'FHA Amotization'!$A$4:$A$363,'FHA Amotization'!$E$4:$E$363,0,0,1)</f>
        <v>314681.53920010896</v>
      </c>
      <c r="V33" s="39">
        <f>(R33+T33)*'Owner Occupier'!$H$35</f>
        <v>69288.991753389855</v>
      </c>
      <c r="W33" s="36">
        <f t="shared" si="2"/>
        <v>-476982.10421060328</v>
      </c>
    </row>
    <row r="34" spans="1:23" x14ac:dyDescent="0.25">
      <c r="A34" s="10"/>
      <c r="B34" s="44" t="s">
        <v>84</v>
      </c>
      <c r="C34" s="44"/>
      <c r="D34" s="50">
        <f>Summary!E8</f>
        <v>391000</v>
      </c>
      <c r="E34" s="45"/>
      <c r="F34" s="43"/>
      <c r="G34" s="56" t="s">
        <v>113</v>
      </c>
      <c r="H34" s="58">
        <f>_xlfn.XLOOKUP($H$31*12,'FHA Amotization'!A4:A363,'FHA Amotization'!G4:G363,0,0,1)</f>
        <v>62836.549577936312</v>
      </c>
      <c r="I34" s="71"/>
      <c r="M34" s="30">
        <v>28</v>
      </c>
      <c r="N34" s="34">
        <f t="shared" si="3"/>
        <v>896453.2741137197</v>
      </c>
      <c r="O34" s="35">
        <f>N34/P34/M34</f>
        <v>1.2666923993979005</v>
      </c>
      <c r="P34" s="36">
        <f>'Owner Occupier'!$D$38</f>
        <v>25275.42470170548</v>
      </c>
      <c r="Q34" s="37">
        <f>'Owner Occupier'!$H$30</f>
        <v>3.5000000000000003E-2</v>
      </c>
      <c r="R34" s="38">
        <f>'Owner Occupier'!$D$24</f>
        <v>391000</v>
      </c>
      <c r="S34" s="38">
        <f>'Owner Occupier'!$D$40</f>
        <v>377315</v>
      </c>
      <c r="T34" s="39">
        <f t="shared" si="1"/>
        <v>633487.2352108357</v>
      </c>
      <c r="U34" s="39">
        <f>S34-_xlfn.XLOOKUP($M34*12,'FHA Amotization'!$A$4:$A$363,'FHA Amotization'!$E$4:$E$363,0,0,1)</f>
        <v>334680.14536764252</v>
      </c>
      <c r="V34" s="39">
        <f>(R34+T34)*'Owner Occupier'!$H$35</f>
        <v>71714.106464758501</v>
      </c>
      <c r="W34" s="36">
        <f t="shared" si="2"/>
        <v>-494648.10807025526</v>
      </c>
    </row>
    <row r="35" spans="1:23" x14ac:dyDescent="0.25">
      <c r="A35" s="10"/>
      <c r="B35" s="44" t="s">
        <v>8</v>
      </c>
      <c r="C35" s="84">
        <f>Summary!E9</f>
        <v>3.5000000000000003E-2</v>
      </c>
      <c r="D35" s="52">
        <f>C35*D34</f>
        <v>13685.000000000002</v>
      </c>
      <c r="E35" s="45"/>
      <c r="F35" s="43"/>
      <c r="G35" s="44" t="s">
        <v>31</v>
      </c>
      <c r="H35" s="51">
        <v>7.0000000000000007E-2</v>
      </c>
      <c r="I35" s="45"/>
      <c r="M35" s="30">
        <v>29</v>
      </c>
      <c r="N35" s="34">
        <f t="shared" si="3"/>
        <v>950665.63370804209</v>
      </c>
      <c r="O35" s="35">
        <f>N35/P35/M35</f>
        <v>1.2969741938273907</v>
      </c>
      <c r="P35" s="36">
        <f>'Owner Occupier'!$D$38</f>
        <v>25275.42470170548</v>
      </c>
      <c r="Q35" s="37">
        <f>'Owner Occupier'!$H$30</f>
        <v>3.5000000000000003E-2</v>
      </c>
      <c r="R35" s="38">
        <f>'Owner Occupier'!$D$24</f>
        <v>391000</v>
      </c>
      <c r="S35" s="38">
        <f>'Owner Occupier'!$D$40</f>
        <v>377315</v>
      </c>
      <c r="T35" s="39">
        <f t="shared" si="1"/>
        <v>669344.28844321473</v>
      </c>
      <c r="U35" s="39">
        <f>S35-_xlfn.XLOOKUP($M35*12,'FHA Amotization'!$A$4:$A$363,'FHA Amotization'!$E$4:$E$363,0,0,1)</f>
        <v>355545.44545585237</v>
      </c>
      <c r="V35" s="39">
        <f>(R35+T35)*'Owner Occupier'!$H$35</f>
        <v>74224.100191025034</v>
      </c>
      <c r="W35" s="36">
        <f t="shared" si="2"/>
        <v>-512314.11192990723</v>
      </c>
    </row>
    <row r="36" spans="1:23" x14ac:dyDescent="0.25">
      <c r="A36" s="10"/>
      <c r="B36" s="44" t="s">
        <v>73</v>
      </c>
      <c r="C36" s="44"/>
      <c r="D36" s="52">
        <f>'Closing Costs'!C28</f>
        <v>11590.42470170548</v>
      </c>
      <c r="E36" s="60"/>
      <c r="F36" s="43"/>
      <c r="G36" s="44" t="s">
        <v>32</v>
      </c>
      <c r="H36" s="52">
        <f>(D34+H32)*$H$35</f>
        <v>45854.297497686603</v>
      </c>
      <c r="I36" s="45"/>
      <c r="M36" s="30">
        <v>30</v>
      </c>
      <c r="N36" s="34">
        <f t="shared" si="3"/>
        <v>1006949.3948410164</v>
      </c>
      <c r="O36" s="35">
        <f>N36/P36/M36</f>
        <v>1.3279689747713341</v>
      </c>
      <c r="P36" s="36">
        <f>'Owner Occupier'!$D$38</f>
        <v>25275.42470170548</v>
      </c>
      <c r="Q36" s="37">
        <f>'Owner Occupier'!$H$30</f>
        <v>3.5000000000000003E-2</v>
      </c>
      <c r="R36" s="38">
        <f>'Owner Occupier'!$D$24</f>
        <v>391000</v>
      </c>
      <c r="S36" s="38">
        <f>'Owner Occupier'!$D$40</f>
        <v>377315</v>
      </c>
      <c r="T36" s="39">
        <f t="shared" si="1"/>
        <v>706456.33853872726</v>
      </c>
      <c r="U36" s="39">
        <f>S36-_xlfn.XLOOKUP($M36*12,'FHA Amotization'!$A$4:$A$363,'FHA Amotization'!$E$4:$E$363,0,0,1)</f>
        <v>377315</v>
      </c>
      <c r="V36" s="39">
        <f>(R36+T36)*'Owner Occupier'!$H$35</f>
        <v>76821.943697710914</v>
      </c>
      <c r="W36" s="36">
        <f t="shared" si="2"/>
        <v>-529980.1157895592</v>
      </c>
    </row>
    <row r="37" spans="1:23" x14ac:dyDescent="0.25">
      <c r="A37" s="10"/>
      <c r="B37" s="44" t="s">
        <v>9</v>
      </c>
      <c r="C37" s="44"/>
      <c r="D37" s="50">
        <v>0</v>
      </c>
      <c r="E37" s="45"/>
      <c r="F37" s="43"/>
      <c r="G37" s="56" t="s">
        <v>3</v>
      </c>
      <c r="H37" s="58">
        <f>+H32+H34-H36</f>
        <v>281043.64490434399</v>
      </c>
      <c r="I37" s="45"/>
      <c r="K37" s="2"/>
    </row>
    <row r="38" spans="1:23" x14ac:dyDescent="0.25">
      <c r="A38" s="10"/>
      <c r="B38" s="56" t="s">
        <v>77</v>
      </c>
      <c r="C38" s="56"/>
      <c r="D38" s="61">
        <f>SUM(D35:D37)</f>
        <v>25275.42470170548</v>
      </c>
      <c r="E38" s="45"/>
      <c r="F38" s="43"/>
      <c r="G38" s="56" t="s">
        <v>4</v>
      </c>
      <c r="H38" s="88">
        <f>H37/D38/H31</f>
        <v>0.7412830136285975</v>
      </c>
      <c r="I38" s="45"/>
      <c r="N38" s="34"/>
    </row>
    <row r="39" spans="1:23" ht="18" x14ac:dyDescent="0.25">
      <c r="A39" s="10"/>
      <c r="B39" s="46" t="s">
        <v>10</v>
      </c>
      <c r="C39" s="46"/>
      <c r="D39" s="48" t="s">
        <v>11</v>
      </c>
      <c r="E39" s="48" t="s">
        <v>12</v>
      </c>
      <c r="F39" s="43"/>
      <c r="G39" s="10"/>
      <c r="H39" s="10"/>
      <c r="I39" s="45"/>
    </row>
    <row r="40" spans="1:23" ht="18" x14ac:dyDescent="0.25">
      <c r="A40" s="10"/>
      <c r="B40" s="44" t="s">
        <v>13</v>
      </c>
      <c r="C40" s="44"/>
      <c r="D40" s="52">
        <f>D34-D35</f>
        <v>377315</v>
      </c>
      <c r="E40" s="45"/>
      <c r="F40" s="43"/>
      <c r="G40" s="46" t="s">
        <v>33</v>
      </c>
      <c r="H40" s="48"/>
      <c r="I40" s="48"/>
    </row>
    <row r="41" spans="1:23" x14ac:dyDescent="0.25">
      <c r="A41" s="10"/>
      <c r="B41" s="44" t="s">
        <v>82</v>
      </c>
      <c r="C41" s="44"/>
      <c r="D41" s="63">
        <f>Summary!E10</f>
        <v>4.2500000000000003E-2</v>
      </c>
      <c r="E41" s="45"/>
      <c r="F41" s="43"/>
      <c r="G41" s="56" t="s">
        <v>87</v>
      </c>
      <c r="H41" s="66"/>
      <c r="I41" s="58">
        <f>((D34-68000)/27.5)*0.5</f>
        <v>5872.727272727273</v>
      </c>
    </row>
    <row r="42" spans="1:23" x14ac:dyDescent="0.25">
      <c r="A42" s="10"/>
      <c r="B42" s="44" t="s">
        <v>14</v>
      </c>
      <c r="C42" s="44"/>
      <c r="D42" s="55">
        <v>30</v>
      </c>
      <c r="E42" s="45"/>
      <c r="F42" s="43"/>
      <c r="G42" s="10"/>
      <c r="H42" s="10"/>
      <c r="I42" s="10"/>
    </row>
    <row r="43" spans="1:23" ht="18" x14ac:dyDescent="0.25">
      <c r="A43" s="10"/>
      <c r="B43" s="56" t="s">
        <v>15</v>
      </c>
      <c r="C43" s="56"/>
      <c r="D43" s="61">
        <f>-PMT(D41/12,D42*12,$D$40,0,0)</f>
        <v>1856.1630000265536</v>
      </c>
      <c r="E43" s="59">
        <f>D43*12</f>
        <v>22273.956000318642</v>
      </c>
      <c r="F43" s="43"/>
      <c r="G43" s="46" t="s">
        <v>34</v>
      </c>
      <c r="H43" s="48"/>
      <c r="I43" s="48"/>
    </row>
    <row r="44" spans="1:23" ht="18" x14ac:dyDescent="0.25">
      <c r="A44" s="10"/>
      <c r="B44" s="46" t="s">
        <v>114</v>
      </c>
      <c r="C44" s="46"/>
      <c r="D44" s="48" t="s">
        <v>11</v>
      </c>
      <c r="E44" s="48" t="s">
        <v>12</v>
      </c>
      <c r="F44" s="43"/>
      <c r="G44" s="44" t="s">
        <v>35</v>
      </c>
      <c r="H44" s="44"/>
      <c r="I44" s="67">
        <v>6</v>
      </c>
    </row>
    <row r="45" spans="1:23" x14ac:dyDescent="0.25">
      <c r="A45" s="10"/>
      <c r="B45" s="44" t="s">
        <v>16</v>
      </c>
      <c r="C45" s="44"/>
      <c r="D45" s="52">
        <f>D43</f>
        <v>1856.1630000265536</v>
      </c>
      <c r="E45" s="53">
        <f>E43</f>
        <v>22273.956000318642</v>
      </c>
      <c r="F45" s="43"/>
      <c r="G45" s="56" t="s">
        <v>34</v>
      </c>
      <c r="H45" s="68"/>
      <c r="I45" s="58">
        <f>MIN((D56-D52-D54),3500)*I44*0.5</f>
        <v>8382.8309649129951</v>
      </c>
    </row>
    <row r="46" spans="1:23" x14ac:dyDescent="0.25">
      <c r="A46" s="10"/>
      <c r="B46" s="44" t="s">
        <v>17</v>
      </c>
      <c r="C46" s="82">
        <v>2.0030539999999999E-2</v>
      </c>
      <c r="D46" s="52">
        <f>C46*0.9*D34/12</f>
        <v>587.39558549999992</v>
      </c>
      <c r="E46" s="53">
        <f>D46*12</f>
        <v>7048.7470259999991</v>
      </c>
      <c r="F46" s="43"/>
      <c r="G46" s="10"/>
      <c r="H46" s="10"/>
      <c r="I46" s="10"/>
    </row>
    <row r="47" spans="1:23" x14ac:dyDescent="0.25">
      <c r="A47" s="10"/>
      <c r="B47" s="44" t="s">
        <v>88</v>
      </c>
      <c r="C47" s="44"/>
      <c r="D47" s="72">
        <f>E47/12</f>
        <v>78.607291666666669</v>
      </c>
      <c r="E47" s="74">
        <f>0.0025*D40</f>
        <v>943.28750000000002</v>
      </c>
      <c r="F47" s="43"/>
      <c r="G47" s="10"/>
      <c r="H47" s="10"/>
      <c r="I47" s="10"/>
    </row>
    <row r="48" spans="1:23" x14ac:dyDescent="0.25">
      <c r="A48" s="10"/>
      <c r="B48" s="44" t="s">
        <v>86</v>
      </c>
      <c r="C48" s="44"/>
      <c r="D48" s="50">
        <v>105</v>
      </c>
      <c r="E48" s="53">
        <f>D48*12</f>
        <v>1260</v>
      </c>
      <c r="F48" s="43"/>
      <c r="G48" s="10"/>
      <c r="H48" s="10"/>
      <c r="I48" s="10"/>
    </row>
    <row r="49" spans="1:9" x14ac:dyDescent="0.25">
      <c r="A49" s="10"/>
      <c r="B49" s="56" t="s">
        <v>126</v>
      </c>
      <c r="C49" s="1"/>
      <c r="D49" s="61">
        <f>SUM(D45:D48)</f>
        <v>2627.1658771932202</v>
      </c>
      <c r="E49" s="83">
        <f>SUM(E45:E48)</f>
        <v>31525.990526318637</v>
      </c>
      <c r="F49" s="43"/>
      <c r="G49" s="10"/>
      <c r="H49" s="10"/>
      <c r="I49" s="10"/>
    </row>
    <row r="50" spans="1:9" x14ac:dyDescent="0.25">
      <c r="A50" s="10"/>
      <c r="B50" s="44"/>
      <c r="D50" s="55"/>
      <c r="E50" s="54"/>
      <c r="F50" s="43"/>
      <c r="G50" s="10"/>
      <c r="H50" s="10"/>
      <c r="I50" s="10"/>
    </row>
    <row r="51" spans="1:9" x14ac:dyDescent="0.25">
      <c r="A51" s="10"/>
      <c r="B51" s="44" t="s">
        <v>125</v>
      </c>
      <c r="C51" s="44"/>
      <c r="D51" s="50">
        <f>1000/12</f>
        <v>83.333333333333329</v>
      </c>
      <c r="E51" s="53">
        <f>D51*12</f>
        <v>1000</v>
      </c>
      <c r="F51" s="43"/>
      <c r="G51" s="10"/>
      <c r="H51" s="10"/>
      <c r="I51" s="10"/>
    </row>
    <row r="52" spans="1:9" x14ac:dyDescent="0.25">
      <c r="A52" s="10"/>
      <c r="B52" s="44" t="s">
        <v>18</v>
      </c>
      <c r="C52" s="81">
        <v>0.06</v>
      </c>
      <c r="D52" s="52">
        <f>(H24-D54)*C52</f>
        <v>84.39</v>
      </c>
      <c r="E52" s="53">
        <f>D52*12</f>
        <v>1012.6800000000001</v>
      </c>
      <c r="F52" s="43"/>
      <c r="G52" s="10"/>
      <c r="H52" s="10"/>
      <c r="I52" s="10"/>
    </row>
    <row r="53" spans="1:9" x14ac:dyDescent="0.25">
      <c r="A53" s="10"/>
      <c r="B53" s="44" t="s">
        <v>129</v>
      </c>
      <c r="C53" s="81">
        <v>0.5</v>
      </c>
      <c r="D53" s="52">
        <f>(C53*H24)/18</f>
        <v>40.277777777777779</v>
      </c>
      <c r="E53" s="53">
        <f>D53*12</f>
        <v>483.33333333333337</v>
      </c>
      <c r="F53" s="43"/>
      <c r="G53" s="10"/>
      <c r="H53" s="10"/>
      <c r="I53" s="10"/>
    </row>
    <row r="54" spans="1:9" x14ac:dyDescent="0.25">
      <c r="A54" s="10"/>
      <c r="B54" s="44" t="s">
        <v>20</v>
      </c>
      <c r="C54" s="81">
        <v>0.03</v>
      </c>
      <c r="D54" s="52">
        <f>C54*H24</f>
        <v>43.5</v>
      </c>
      <c r="E54" s="53">
        <f>D54*12</f>
        <v>522</v>
      </c>
      <c r="F54" s="43"/>
      <c r="G54" s="10"/>
      <c r="H54" s="10"/>
      <c r="I54" s="10"/>
    </row>
    <row r="55" spans="1:9" x14ac:dyDescent="0.25">
      <c r="A55" s="10"/>
      <c r="B55" s="44" t="s">
        <v>21</v>
      </c>
      <c r="C55" s="81">
        <v>0.03</v>
      </c>
      <c r="D55" s="52">
        <f>C55*H24</f>
        <v>43.5</v>
      </c>
      <c r="E55" s="53">
        <f>D55*12</f>
        <v>522</v>
      </c>
      <c r="F55" s="43"/>
      <c r="G55" s="10"/>
      <c r="H55" s="10"/>
      <c r="I55" s="10"/>
    </row>
    <row r="56" spans="1:9" x14ac:dyDescent="0.25">
      <c r="A56" s="10"/>
      <c r="B56" s="56" t="s">
        <v>115</v>
      </c>
      <c r="C56" s="56"/>
      <c r="D56" s="58">
        <f>SUM(D49:D55)</f>
        <v>2922.1669883043314</v>
      </c>
      <c r="E56" s="58">
        <f>SUM(E49:E55)</f>
        <v>35066.003859651973</v>
      </c>
      <c r="F56" s="43"/>
      <c r="G56" s="10"/>
      <c r="H56" s="10"/>
      <c r="I56" s="10"/>
    </row>
    <row r="57" spans="1:9" x14ac:dyDescent="0.25">
      <c r="A57" s="10"/>
      <c r="B57" s="56"/>
      <c r="C57" s="10"/>
      <c r="D57" s="87"/>
      <c r="E57" s="87"/>
      <c r="F57" s="43"/>
      <c r="G57" s="10"/>
      <c r="H57" s="10"/>
      <c r="I57" s="10"/>
    </row>
    <row r="58" spans="1:9" x14ac:dyDescent="0.25">
      <c r="A58" s="10"/>
      <c r="B58" s="56"/>
      <c r="C58" s="10"/>
      <c r="D58" s="87"/>
      <c r="E58" s="87"/>
      <c r="F58" s="43"/>
      <c r="G58" s="10"/>
      <c r="H58" s="10"/>
      <c r="I58" s="10"/>
    </row>
    <row r="59" spans="1:9" x14ac:dyDescent="0.25">
      <c r="A59" s="10"/>
      <c r="B59" s="18" t="s">
        <v>69</v>
      </c>
      <c r="C59" s="18"/>
      <c r="D59" s="17"/>
      <c r="E59" s="16"/>
      <c r="F59" s="10"/>
      <c r="G59" s="10"/>
      <c r="H59" s="10"/>
      <c r="I59" s="10"/>
    </row>
    <row r="60" spans="1:9" ht="55.9" customHeight="1" x14ac:dyDescent="0.25">
      <c r="A60" s="10"/>
      <c r="B60" s="111" t="s">
        <v>70</v>
      </c>
      <c r="C60" s="111"/>
      <c r="D60" s="111"/>
      <c r="E60" s="111"/>
      <c r="F60" s="111"/>
      <c r="G60" s="111"/>
      <c r="H60" s="111"/>
      <c r="I60" s="111"/>
    </row>
    <row r="61" spans="1:9" ht="18" x14ac:dyDescent="0.25">
      <c r="A61" s="10"/>
      <c r="B61" s="110" t="s">
        <v>71</v>
      </c>
      <c r="C61" s="110"/>
      <c r="D61" s="110"/>
      <c r="E61" s="110"/>
      <c r="F61" s="110"/>
      <c r="G61" s="110"/>
      <c r="H61" s="110"/>
      <c r="I61" s="110"/>
    </row>
    <row r="62" spans="1:9" x14ac:dyDescent="0.25">
      <c r="F62" s="10"/>
    </row>
    <row r="63" spans="1:9" x14ac:dyDescent="0.25">
      <c r="F63" s="10"/>
    </row>
    <row r="64" spans="1:9" x14ac:dyDescent="0.25">
      <c r="F64" s="10"/>
    </row>
    <row r="65" spans="6:6" x14ac:dyDescent="0.25">
      <c r="F65" s="10"/>
    </row>
    <row r="66" spans="6:6" x14ac:dyDescent="0.25">
      <c r="F66" s="10"/>
    </row>
    <row r="67" spans="6:6" x14ac:dyDescent="0.25">
      <c r="F67" s="10"/>
    </row>
    <row r="68" spans="6:6" x14ac:dyDescent="0.25">
      <c r="F68" s="10"/>
    </row>
    <row r="69" spans="6:6" x14ac:dyDescent="0.25">
      <c r="F69" s="10"/>
    </row>
  </sheetData>
  <sheetProtection selectLockedCells="1"/>
  <mergeCells count="6">
    <mergeCell ref="B61:I61"/>
    <mergeCell ref="B60:I60"/>
    <mergeCell ref="B1:I1"/>
    <mergeCell ref="B2:I2"/>
    <mergeCell ref="B3:I3"/>
    <mergeCell ref="B4:I4"/>
  </mergeCells>
  <pageMargins left="0.7" right="0.7" top="0.75" bottom="0.75" header="0.3" footer="0.3"/>
  <pageSetup scale="51"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2D145C42-4DA8-4B53-8E16-A650A69D3554}">
          <x14:formula1>
            <xm:f>DAta!$A$2:$A$23</xm:f>
          </x14:formula1>
          <xm:sqref>C35</xm:sqref>
        </x14:dataValidation>
        <x14:dataValidation type="list" allowBlank="1" showInputMessage="1" showErrorMessage="1" xr:uid="{78EA05F8-9551-4453-865B-AE6AA2E044AA}">
          <x14:formula1>
            <xm:f>DAta!$C$2:$C$11</xm:f>
          </x14:formula1>
          <xm:sqref>C54</xm:sqref>
        </x14:dataValidation>
        <x14:dataValidation type="list" allowBlank="1" showInputMessage="1" showErrorMessage="1" xr:uid="{4A93B6CD-B338-45C7-B425-89FF9464AD9E}">
          <x14:formula1>
            <xm:f>DAta!$E$2:$E$11</xm:f>
          </x14:formula1>
          <xm:sqref>C55</xm:sqref>
        </x14:dataValidation>
        <x14:dataValidation type="list" allowBlank="1" showInputMessage="1" showErrorMessage="1" xr:uid="{E43978D7-47AE-4B52-A406-915F8A794452}">
          <x14:formula1>
            <xm:f>DAta!$H$2:$H$31</xm:f>
          </x14:formula1>
          <xm:sqref>H31</xm:sqref>
        </x14:dataValidation>
        <x14:dataValidation type="list" allowBlank="1" showInputMessage="1" showErrorMessage="1" xr:uid="{C81CACBD-755A-487D-8C73-B1DF00AE9602}">
          <x14:formula1>
            <xm:f>DAta!$F$2:$F$12</xm:f>
          </x14:formula1>
          <xm:sqref>C52</xm:sqref>
        </x14:dataValidation>
        <x14:dataValidation type="list" allowBlank="1" showInputMessage="1" showErrorMessage="1" xr:uid="{C28D86BE-7283-47DE-B2DB-52AE6FA46654}">
          <x14:formula1>
            <xm:f>DAta!$H$2:$H$7</xm:f>
          </x14:formula1>
          <xm:sqref>I44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144C-EF48-4C59-BF01-2FEB3ECCCD4C}">
  <sheetPr codeName="Sheet2"/>
  <dimension ref="A1:C31"/>
  <sheetViews>
    <sheetView topLeftCell="A3" workbookViewId="0">
      <selection activeCell="G26" sqref="G26"/>
    </sheetView>
  </sheetViews>
  <sheetFormatPr defaultRowHeight="15" x14ac:dyDescent="0.25"/>
  <cols>
    <col min="1" max="1" width="40.28515625" bestFit="1" customWidth="1"/>
    <col min="2" max="2" width="4.85546875" customWidth="1"/>
    <col min="3" max="3" width="17.28515625" bestFit="1" customWidth="1"/>
    <col min="5" max="5" width="11" bestFit="1" customWidth="1"/>
    <col min="7" max="7" width="11" bestFit="1" customWidth="1"/>
  </cols>
  <sheetData>
    <row r="1" spans="1:3" ht="15.75" customHeight="1" x14ac:dyDescent="0.25">
      <c r="A1" s="7" t="s">
        <v>36</v>
      </c>
      <c r="B1" s="7"/>
      <c r="C1" s="7"/>
    </row>
    <row r="2" spans="1:3" ht="15.75" customHeight="1" x14ac:dyDescent="0.25">
      <c r="A2" s="69"/>
      <c r="B2" s="69"/>
      <c r="C2" s="69"/>
    </row>
    <row r="3" spans="1:3" ht="15.75" x14ac:dyDescent="0.25">
      <c r="A3" s="17" t="s">
        <v>37</v>
      </c>
      <c r="B3" s="11"/>
      <c r="C3" s="21">
        <v>895</v>
      </c>
    </row>
    <row r="4" spans="1:3" x14ac:dyDescent="0.25">
      <c r="A4" s="17" t="s">
        <v>38</v>
      </c>
      <c r="B4" s="13"/>
      <c r="C4" s="21">
        <v>605</v>
      </c>
    </row>
    <row r="5" spans="1:3" x14ac:dyDescent="0.25">
      <c r="A5" s="17" t="s">
        <v>39</v>
      </c>
      <c r="B5" s="10"/>
      <c r="C5" s="21">
        <v>70</v>
      </c>
    </row>
    <row r="6" spans="1:3" ht="15.75" x14ac:dyDescent="0.25">
      <c r="A6" s="24" t="s">
        <v>40</v>
      </c>
      <c r="B6" s="11"/>
      <c r="C6" s="27">
        <f>SUM(C3:C5)</f>
        <v>1570</v>
      </c>
    </row>
    <row r="7" spans="1:3" ht="15.75" x14ac:dyDescent="0.25">
      <c r="A7" s="11"/>
      <c r="B7" s="11"/>
      <c r="C7" s="25"/>
    </row>
    <row r="8" spans="1:3" ht="15.75" x14ac:dyDescent="0.25">
      <c r="A8" s="17" t="str">
        <f>IF(K25="No","Appraisal Pd Outside of Closing","Appraisal Fee ")</f>
        <v xml:space="preserve">Appraisal Fee </v>
      </c>
      <c r="B8" s="11"/>
      <c r="C8" s="21">
        <v>675</v>
      </c>
    </row>
    <row r="9" spans="1:3" ht="15.75" x14ac:dyDescent="0.25">
      <c r="A9" s="17" t="s">
        <v>41</v>
      </c>
      <c r="B9" s="11"/>
      <c r="C9" s="21">
        <v>100</v>
      </c>
    </row>
    <row r="10" spans="1:3" ht="15.75" x14ac:dyDescent="0.25">
      <c r="A10" s="17" t="s">
        <v>42</v>
      </c>
      <c r="B10" s="11"/>
      <c r="C10" s="21">
        <v>94</v>
      </c>
    </row>
    <row r="11" spans="1:3" ht="15.75" x14ac:dyDescent="0.25">
      <c r="A11" s="17" t="s">
        <v>43</v>
      </c>
      <c r="B11" s="11"/>
      <c r="C11" s="21">
        <v>142</v>
      </c>
    </row>
    <row r="12" spans="1:3" ht="15.75" x14ac:dyDescent="0.25">
      <c r="A12" s="17" t="s">
        <v>44</v>
      </c>
      <c r="B12" s="11"/>
      <c r="C12" s="21">
        <v>950</v>
      </c>
    </row>
    <row r="13" spans="1:3" ht="15.75" x14ac:dyDescent="0.25">
      <c r="A13" s="17" t="s">
        <v>45</v>
      </c>
      <c r="B13" s="11"/>
      <c r="C13" s="21">
        <v>2940</v>
      </c>
    </row>
    <row r="14" spans="1:3" ht="15.75" x14ac:dyDescent="0.25">
      <c r="A14" s="17" t="s">
        <v>46</v>
      </c>
      <c r="B14" s="11"/>
      <c r="C14" s="21">
        <v>560.44000000000005</v>
      </c>
    </row>
    <row r="15" spans="1:3" ht="15.75" x14ac:dyDescent="0.25">
      <c r="A15" s="17" t="s">
        <v>47</v>
      </c>
      <c r="B15" s="11"/>
      <c r="C15" s="21">
        <v>800</v>
      </c>
    </row>
    <row r="16" spans="1:3" ht="15.75" x14ac:dyDescent="0.25">
      <c r="A16" s="24" t="s">
        <v>48</v>
      </c>
      <c r="B16" s="19"/>
      <c r="C16" s="27">
        <f>SUM(C6:C15)</f>
        <v>7831.4400000000005</v>
      </c>
    </row>
    <row r="17" spans="1:3" ht="15.75" x14ac:dyDescent="0.25">
      <c r="A17" s="12"/>
      <c r="B17" s="19"/>
      <c r="C17" s="26"/>
    </row>
    <row r="18" spans="1:3" x14ac:dyDescent="0.25">
      <c r="A18" s="17" t="s">
        <v>75</v>
      </c>
      <c r="B18" s="10"/>
      <c r="C18" s="21">
        <f>(('With Loan'!D40*'With Loan'!D41)/365)*15</f>
        <v>421.79794520547944</v>
      </c>
    </row>
    <row r="19" spans="1:3" x14ac:dyDescent="0.25">
      <c r="A19" s="17" t="s">
        <v>49</v>
      </c>
      <c r="B19" s="10"/>
      <c r="C19" s="21">
        <f>'With Loan'!E47</f>
        <v>1260</v>
      </c>
    </row>
    <row r="20" spans="1:3" x14ac:dyDescent="0.25">
      <c r="A20" s="17" t="s">
        <v>50</v>
      </c>
      <c r="B20" s="10"/>
      <c r="C20" s="21">
        <f>((C19+'With Loan'!E46)/12)*3</f>
        <v>2077.1867564999998</v>
      </c>
    </row>
    <row r="21" spans="1:3" ht="15.75" x14ac:dyDescent="0.25">
      <c r="A21" s="24" t="s">
        <v>51</v>
      </c>
      <c r="B21" s="19"/>
      <c r="C21" s="27">
        <f>SUM(C18:C20)</f>
        <v>3758.984701705479</v>
      </c>
    </row>
    <row r="22" spans="1:3" ht="15.75" x14ac:dyDescent="0.25">
      <c r="A22" s="11"/>
      <c r="B22" s="10"/>
      <c r="C22" s="20"/>
    </row>
    <row r="23" spans="1:3" ht="15.75" x14ac:dyDescent="0.25">
      <c r="A23" s="24" t="s">
        <v>52</v>
      </c>
      <c r="B23" s="19"/>
      <c r="C23" s="27">
        <f>C21+C16</f>
        <v>11590.42470170548</v>
      </c>
    </row>
    <row r="24" spans="1:3" x14ac:dyDescent="0.25">
      <c r="A24" s="10"/>
      <c r="B24" s="10"/>
      <c r="C24" s="10"/>
    </row>
    <row r="25" spans="1:3" x14ac:dyDescent="0.25">
      <c r="A25" s="28" t="s">
        <v>53</v>
      </c>
      <c r="B25" s="10"/>
      <c r="C25" s="22" t="s">
        <v>54</v>
      </c>
    </row>
    <row r="26" spans="1:3" ht="15.75" x14ac:dyDescent="0.25">
      <c r="A26" s="14" t="s">
        <v>55</v>
      </c>
      <c r="B26" s="10"/>
      <c r="C26" s="23"/>
    </row>
    <row r="27" spans="1:3" x14ac:dyDescent="0.25">
      <c r="A27" s="10"/>
      <c r="B27" s="10"/>
      <c r="C27" s="10"/>
    </row>
    <row r="28" spans="1:3" ht="15.75" x14ac:dyDescent="0.25">
      <c r="A28" s="24" t="s">
        <v>56</v>
      </c>
      <c r="B28" s="10"/>
      <c r="C28" s="27">
        <f>IF(C25="Yes",C26,C23)</f>
        <v>11590.42470170548</v>
      </c>
    </row>
    <row r="31" spans="1:3" x14ac:dyDescent="0.25">
      <c r="C31" s="15"/>
    </row>
  </sheetData>
  <protectedRanges>
    <protectedRange sqref="C6:C7" name="Range1_3"/>
  </protectedRange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66F6416-0D3A-477F-9AA9-2FEA442B5FC7}">
          <x14:formula1>
            <xm:f>DAta!$J$2:$J$3</xm:f>
          </x14:formula1>
          <xm:sqref>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670D-753F-41D5-9D46-B694A30EF4E1}">
  <dimension ref="A1:G363"/>
  <sheetViews>
    <sheetView workbookViewId="0">
      <selection activeCell="F4" sqref="F4:F363"/>
    </sheetView>
  </sheetViews>
  <sheetFormatPr defaultRowHeight="15" x14ac:dyDescent="0.25"/>
  <cols>
    <col min="2" max="2" width="17.28515625" bestFit="1" customWidth="1"/>
    <col min="3" max="3" width="23.5703125" bestFit="1" customWidth="1"/>
    <col min="4" max="4" width="23.5703125" customWidth="1"/>
    <col min="5" max="5" width="17.28515625" bestFit="1" customWidth="1"/>
    <col min="6" max="6" width="16.28515625" bestFit="1" customWidth="1"/>
    <col min="7" max="7" width="26.5703125" bestFit="1" customWidth="1"/>
  </cols>
  <sheetData>
    <row r="1" spans="1:7" ht="18.75" x14ac:dyDescent="0.3">
      <c r="A1" s="114" t="s">
        <v>61</v>
      </c>
      <c r="B1" s="114"/>
      <c r="C1" s="114"/>
      <c r="D1" s="5"/>
      <c r="E1" s="5"/>
    </row>
    <row r="2" spans="1:7" x14ac:dyDescent="0.25">
      <c r="E2" s="15"/>
    </row>
    <row r="3" spans="1:7" x14ac:dyDescent="0.25">
      <c r="A3" s="1" t="s">
        <v>62</v>
      </c>
      <c r="B3" s="1" t="s">
        <v>63</v>
      </c>
      <c r="C3" s="1" t="s">
        <v>64</v>
      </c>
      <c r="D3" s="1" t="s">
        <v>65</v>
      </c>
      <c r="E3" s="1" t="s">
        <v>66</v>
      </c>
      <c r="F3" s="1" t="s">
        <v>80</v>
      </c>
      <c r="G3" s="1" t="s">
        <v>81</v>
      </c>
    </row>
    <row r="4" spans="1:7" x14ac:dyDescent="0.25">
      <c r="A4">
        <v>1</v>
      </c>
      <c r="B4" s="4">
        <f>-PPMT('Owner Occupier'!$D$41/12,'FHA Amotization'!$A4,360,'Owner Occupier'!$D$40,0,0)</f>
        <v>519.83904169322022</v>
      </c>
      <c r="C4" s="4">
        <f>-IPMT('Owner Occupier'!$D$41/12,'FHA Amotization'!$A4,360,'Owner Occupier'!$D$40,0,0)</f>
        <v>1336.3239583333334</v>
      </c>
      <c r="D4" s="4">
        <f>B4+C4</f>
        <v>1856.1630000265536</v>
      </c>
      <c r="E4" s="4">
        <f>'Owner Occupier'!$D$40-'FHA Amotization'!B4</f>
        <v>376795.16095830681</v>
      </c>
      <c r="F4" s="4">
        <f>('Owner Occupier'!$H$24-'Owner Occupier'!$D$52)/('Owner Occupier'!$D$56-'Owner Occupier'!$D$52)*B4</f>
        <v>250.15968367227697</v>
      </c>
      <c r="G4" s="4">
        <f>F4</f>
        <v>250.15968367227697</v>
      </c>
    </row>
    <row r="5" spans="1:7" x14ac:dyDescent="0.25">
      <c r="A5">
        <v>2</v>
      </c>
      <c r="B5" s="4">
        <f>-PPMT('Owner Occupier'!$D$41/12,'FHA Amotization'!$A5,360,'Owner Occupier'!$D$40,0,0)</f>
        <v>521.68013829921699</v>
      </c>
      <c r="C5" s="4">
        <f>-IPMT('Owner Occupier'!$D$41/12,'FHA Amotization'!$A5,360,'Owner Occupier'!$D$40,0,0)</f>
        <v>1334.4828617273367</v>
      </c>
      <c r="D5" s="4">
        <f t="shared" ref="D5:D68" si="0">B5+C5</f>
        <v>1856.1630000265536</v>
      </c>
      <c r="E5" s="3">
        <f>E4-B5</f>
        <v>376273.48082000756</v>
      </c>
      <c r="F5" s="4">
        <f>('Owner Occupier'!$H$24-'Owner Occupier'!$D$52)/('Owner Occupier'!$D$56-'Owner Occupier'!$D$52)*B5</f>
        <v>251.04566588528294</v>
      </c>
      <c r="G5" s="4">
        <f>F5+G4</f>
        <v>501.20534955755988</v>
      </c>
    </row>
    <row r="6" spans="1:7" x14ac:dyDescent="0.25">
      <c r="A6">
        <v>3</v>
      </c>
      <c r="B6" s="4">
        <f>-PPMT('Owner Occupier'!$D$41/12,'FHA Amotization'!$A6,360,'Owner Occupier'!$D$40,0,0)</f>
        <v>523.52775545569352</v>
      </c>
      <c r="C6" s="4">
        <f>-IPMT('Owner Occupier'!$D$41/12,'FHA Amotization'!$A6,360,'Owner Occupier'!$D$40,0,0)</f>
        <v>1332.6352445708603</v>
      </c>
      <c r="D6" s="4">
        <f t="shared" si="0"/>
        <v>1856.1630000265538</v>
      </c>
      <c r="E6" s="3">
        <f t="shared" ref="E6:E69" si="1">E5-B6</f>
        <v>375749.95306455187</v>
      </c>
      <c r="F6" s="4">
        <f>('Owner Occupier'!$H$24-'Owner Occupier'!$D$52)/('Owner Occupier'!$D$56-'Owner Occupier'!$D$52)*B6</f>
        <v>251.93478595196004</v>
      </c>
      <c r="G6" s="4">
        <f t="shared" ref="G6:G69" si="2">F6+G5</f>
        <v>753.14013550951995</v>
      </c>
    </row>
    <row r="7" spans="1:7" x14ac:dyDescent="0.25">
      <c r="A7">
        <v>4</v>
      </c>
      <c r="B7" s="4">
        <f>-PPMT('Owner Occupier'!$D$41/12,'FHA Amotization'!$A7,360,'Owner Occupier'!$D$40,0,0)</f>
        <v>525.38191625626564</v>
      </c>
      <c r="C7" s="4">
        <f>-IPMT('Owner Occupier'!$D$41/12,'FHA Amotization'!$A7,360,'Owner Occupier'!$D$40,0,0)</f>
        <v>1330.7810837702882</v>
      </c>
      <c r="D7" s="4">
        <f t="shared" si="0"/>
        <v>1856.1630000265538</v>
      </c>
      <c r="E7" s="3">
        <f t="shared" si="1"/>
        <v>375224.5711482956</v>
      </c>
      <c r="F7" s="4">
        <f>('Owner Occupier'!$H$24-'Owner Occupier'!$D$52)/('Owner Occupier'!$D$56-'Owner Occupier'!$D$52)*B7</f>
        <v>252.82705498553983</v>
      </c>
      <c r="G7" s="4">
        <f t="shared" si="2"/>
        <v>1005.9671904950598</v>
      </c>
    </row>
    <row r="8" spans="1:7" x14ac:dyDescent="0.25">
      <c r="A8">
        <v>5</v>
      </c>
      <c r="B8" s="4">
        <f>-PPMT('Owner Occupier'!$D$41/12,'FHA Amotization'!$A8,360,'Owner Occupier'!$D$40,0,0)</f>
        <v>527.24264387634003</v>
      </c>
      <c r="C8" s="4">
        <f>-IPMT('Owner Occupier'!$D$41/12,'FHA Amotization'!$A8,360,'Owner Occupier'!$D$40,0,0)</f>
        <v>1328.9203561502138</v>
      </c>
      <c r="D8" s="4">
        <f t="shared" si="0"/>
        <v>1856.1630000265538</v>
      </c>
      <c r="E8" s="3">
        <f t="shared" si="1"/>
        <v>374697.32850441925</v>
      </c>
      <c r="F8" s="4">
        <f>('Owner Occupier'!$H$24-'Owner Occupier'!$D$52)/('Owner Occupier'!$D$56-'Owner Occupier'!$D$52)*B8</f>
        <v>253.72248413861368</v>
      </c>
      <c r="G8" s="4">
        <f t="shared" si="2"/>
        <v>1259.6896746336733</v>
      </c>
    </row>
    <row r="9" spans="1:7" x14ac:dyDescent="0.25">
      <c r="A9">
        <v>6</v>
      </c>
      <c r="B9" s="4">
        <f>-PPMT('Owner Occupier'!$D$41/12,'FHA Amotization'!$A9,360,'Owner Occupier'!$D$40,0,0)</f>
        <v>529.10996157340185</v>
      </c>
      <c r="C9" s="4">
        <f>-IPMT('Owner Occupier'!$D$41/12,'FHA Amotization'!$A9,360,'Owner Occupier'!$D$40,0,0)</f>
        <v>1327.0530384531519</v>
      </c>
      <c r="D9" s="4">
        <f t="shared" si="0"/>
        <v>1856.1630000265536</v>
      </c>
      <c r="E9" s="3">
        <f t="shared" si="1"/>
        <v>374168.21854284586</v>
      </c>
      <c r="F9" s="4">
        <f>('Owner Occupier'!$H$24-'Owner Occupier'!$D$52)/('Owner Occupier'!$D$56-'Owner Occupier'!$D$52)*B9</f>
        <v>254.62108460327116</v>
      </c>
      <c r="G9" s="4">
        <f t="shared" si="2"/>
        <v>1514.3107592369445</v>
      </c>
    </row>
    <row r="10" spans="1:7" x14ac:dyDescent="0.25">
      <c r="A10">
        <v>7</v>
      </c>
      <c r="B10" s="4">
        <f>-PPMT('Owner Occupier'!$D$41/12,'FHA Amotization'!$A10,360,'Owner Occupier'!$D$40,0,0)</f>
        <v>530.98389268730784</v>
      </c>
      <c r="C10" s="4">
        <f>-IPMT('Owner Occupier'!$D$41/12,'FHA Amotization'!$A10,360,'Owner Occupier'!$D$40,0,0)</f>
        <v>1325.1791073392458</v>
      </c>
      <c r="D10" s="4">
        <f t="shared" si="0"/>
        <v>1856.1630000265536</v>
      </c>
      <c r="E10" s="3">
        <f t="shared" si="1"/>
        <v>373637.23465015856</v>
      </c>
      <c r="F10" s="4">
        <f>('Owner Occupier'!$H$24-'Owner Occupier'!$D$52)/('Owner Occupier'!$D$56-'Owner Occupier'!$D$52)*B10</f>
        <v>255.52286761124117</v>
      </c>
      <c r="G10" s="4">
        <f t="shared" si="2"/>
        <v>1769.8336268481858</v>
      </c>
    </row>
    <row r="11" spans="1:7" x14ac:dyDescent="0.25">
      <c r="A11">
        <v>8</v>
      </c>
      <c r="B11" s="4">
        <f>-PPMT('Owner Occupier'!$D$41/12,'FHA Amotization'!$A11,360,'Owner Occupier'!$D$40,0,0)</f>
        <v>532.86446064057532</v>
      </c>
      <c r="C11" s="4">
        <f>-IPMT('Owner Occupier'!$D$41/12,'FHA Amotization'!$A11,360,'Owner Occupier'!$D$40,0,0)</f>
        <v>1323.2985393859783</v>
      </c>
      <c r="D11" s="4">
        <f t="shared" si="0"/>
        <v>1856.1630000265536</v>
      </c>
      <c r="E11" s="3">
        <f t="shared" si="1"/>
        <v>373104.37018951797</v>
      </c>
      <c r="F11" s="4">
        <f>('Owner Occupier'!$H$24-'Owner Occupier'!$D$52)/('Owner Occupier'!$D$56-'Owner Occupier'!$D$52)*B11</f>
        <v>256.42784443403093</v>
      </c>
      <c r="G11" s="4">
        <f t="shared" si="2"/>
        <v>2026.2614712822167</v>
      </c>
    </row>
    <row r="12" spans="1:7" x14ac:dyDescent="0.25">
      <c r="A12">
        <v>9</v>
      </c>
      <c r="B12" s="4">
        <f>-PPMT('Owner Occupier'!$D$41/12,'FHA Amotization'!$A12,360,'Owner Occupier'!$D$40,0,0)</f>
        <v>534.75168893867749</v>
      </c>
      <c r="C12" s="4">
        <f>-IPMT('Owner Occupier'!$D$41/12,'FHA Amotization'!$A12,360,'Owner Occupier'!$D$40,0,0)</f>
        <v>1321.4113110878764</v>
      </c>
      <c r="D12" s="4">
        <f t="shared" si="0"/>
        <v>1856.1630000265538</v>
      </c>
      <c r="E12" s="3">
        <f t="shared" si="1"/>
        <v>372569.61850057926</v>
      </c>
      <c r="F12" s="4">
        <f>('Owner Occupier'!$H$24-'Owner Occupier'!$D$52)/('Owner Occupier'!$D$56-'Owner Occupier'!$D$52)*B12</f>
        <v>257.3360263830682</v>
      </c>
      <c r="G12" s="4">
        <f t="shared" si="2"/>
        <v>2283.5974976652851</v>
      </c>
    </row>
    <row r="13" spans="1:7" x14ac:dyDescent="0.25">
      <c r="A13">
        <v>10</v>
      </c>
      <c r="B13" s="4">
        <f>-PPMT('Owner Occupier'!$D$41/12,'FHA Amotization'!$A13,360,'Owner Occupier'!$D$40,0,0)</f>
        <v>536.64560117033511</v>
      </c>
      <c r="C13" s="4">
        <f>-IPMT('Owner Occupier'!$D$41/12,'FHA Amotization'!$A13,360,'Owner Occupier'!$D$40,0,0)</f>
        <v>1319.5173988562185</v>
      </c>
      <c r="D13" s="4">
        <f t="shared" si="0"/>
        <v>1856.1630000265536</v>
      </c>
      <c r="E13" s="3">
        <f t="shared" si="1"/>
        <v>372032.97289940895</v>
      </c>
      <c r="F13" s="4">
        <f>('Owner Occupier'!$H$24-'Owner Occupier'!$D$52)/('Owner Occupier'!$D$56-'Owner Occupier'!$D$52)*B13</f>
        <v>258.2474248098415</v>
      </c>
      <c r="G13" s="4">
        <f t="shared" si="2"/>
        <v>2541.8449224751266</v>
      </c>
    </row>
    <row r="14" spans="1:7" x14ac:dyDescent="0.25">
      <c r="A14">
        <v>11</v>
      </c>
      <c r="B14" s="4">
        <f>-PPMT('Owner Occupier'!$D$41/12,'FHA Amotization'!$A14,360,'Owner Occupier'!$D$40,0,0)</f>
        <v>538.54622100781353</v>
      </c>
      <c r="C14" s="4">
        <f>-IPMT('Owner Occupier'!$D$41/12,'FHA Amotization'!$A14,360,'Owner Occupier'!$D$40,0,0)</f>
        <v>1317.6167790187401</v>
      </c>
      <c r="D14" s="4">
        <f t="shared" si="0"/>
        <v>1856.1630000265536</v>
      </c>
      <c r="E14" s="3">
        <f t="shared" si="1"/>
        <v>371494.42667840113</v>
      </c>
      <c r="F14" s="4">
        <f>('Owner Occupier'!$H$24-'Owner Occupier'!$D$52)/('Owner Occupier'!$D$56-'Owner Occupier'!$D$52)*B14</f>
        <v>259.16205110604307</v>
      </c>
      <c r="G14" s="4">
        <f t="shared" si="2"/>
        <v>2801.0069735811699</v>
      </c>
    </row>
    <row r="15" spans="1:7" x14ac:dyDescent="0.25">
      <c r="A15">
        <v>12</v>
      </c>
      <c r="B15" s="4">
        <f>-PPMT('Owner Occupier'!$D$41/12,'FHA Amotization'!$A15,360,'Owner Occupier'!$D$40,0,0)</f>
        <v>540.45357220721621</v>
      </c>
      <c r="C15" s="4">
        <f>-IPMT('Owner Occupier'!$D$41/12,'FHA Amotization'!$A15,360,'Owner Occupier'!$D$40,0,0)</f>
        <v>1315.7094278193376</v>
      </c>
      <c r="D15" s="4">
        <f t="shared" si="0"/>
        <v>1856.1630000265538</v>
      </c>
      <c r="E15" s="3">
        <f t="shared" si="1"/>
        <v>370953.97310619394</v>
      </c>
      <c r="F15" s="4">
        <f>('Owner Occupier'!$H$24-'Owner Occupier'!$D$52)/('Owner Occupier'!$D$56-'Owner Occupier'!$D$52)*B15</f>
        <v>260.0799167037103</v>
      </c>
      <c r="G15" s="4">
        <f t="shared" si="2"/>
        <v>3061.0868902848802</v>
      </c>
    </row>
    <row r="16" spans="1:7" x14ac:dyDescent="0.25">
      <c r="A16">
        <v>13</v>
      </c>
      <c r="B16" s="4">
        <f>-PPMT('Owner Occupier'!$D$41/12,'FHA Amotization'!$A16,360,'Owner Occupier'!$D$40,0,0)</f>
        <v>542.36767860878342</v>
      </c>
      <c r="C16" s="4">
        <f>-IPMT('Owner Occupier'!$D$41/12,'FHA Amotization'!$A16,360,'Owner Occupier'!$D$40,0,0)</f>
        <v>1313.7953214177703</v>
      </c>
      <c r="D16" s="4">
        <f t="shared" si="0"/>
        <v>1856.1630000265536</v>
      </c>
      <c r="E16" s="3">
        <f t="shared" si="1"/>
        <v>370411.60542758513</v>
      </c>
      <c r="F16" s="4">
        <f>('Owner Occupier'!$H$24-'Owner Occupier'!$D$52)/('Owner Occupier'!$D$56-'Owner Occupier'!$D$52)*B16</f>
        <v>261.00103307536926</v>
      </c>
      <c r="G16" s="4">
        <f t="shared" si="2"/>
        <v>3322.0879233602495</v>
      </c>
    </row>
    <row r="17" spans="1:7" x14ac:dyDescent="0.25">
      <c r="A17">
        <v>14</v>
      </c>
      <c r="B17" s="4">
        <f>-PPMT('Owner Occupier'!$D$41/12,'FHA Amotization'!$A17,360,'Owner Occupier'!$D$40,0,0)</f>
        <v>544.28856413718938</v>
      </c>
      <c r="C17" s="4">
        <f>-IPMT('Owner Occupier'!$D$41/12,'FHA Amotization'!$A17,360,'Owner Occupier'!$D$40,0,0)</f>
        <v>1311.8744358893643</v>
      </c>
      <c r="D17" s="4">
        <f t="shared" si="0"/>
        <v>1856.1630000265536</v>
      </c>
      <c r="E17" s="3">
        <f t="shared" si="1"/>
        <v>369867.31686344795</v>
      </c>
      <c r="F17" s="4">
        <f>('Owner Occupier'!$H$24-'Owner Occupier'!$D$52)/('Owner Occupier'!$D$56-'Owner Occupier'!$D$52)*B17</f>
        <v>261.92541173417783</v>
      </c>
      <c r="G17" s="4">
        <f t="shared" si="2"/>
        <v>3584.0133350944275</v>
      </c>
    </row>
    <row r="18" spans="1:7" x14ac:dyDescent="0.25">
      <c r="A18">
        <v>15</v>
      </c>
      <c r="B18" s="4">
        <f>-PPMT('Owner Occupier'!$D$41/12,'FHA Amotization'!$A18,360,'Owner Occupier'!$D$40,0,0)</f>
        <v>546.21625280184207</v>
      </c>
      <c r="C18" s="4">
        <f>-IPMT('Owner Occupier'!$D$41/12,'FHA Amotization'!$A18,360,'Owner Occupier'!$D$40,0,0)</f>
        <v>1309.9467472247118</v>
      </c>
      <c r="D18" s="4">
        <f t="shared" si="0"/>
        <v>1856.1630000265538</v>
      </c>
      <c r="E18" s="3">
        <f t="shared" si="1"/>
        <v>369321.10061064613</v>
      </c>
      <c r="F18" s="4">
        <f>('Owner Occupier'!$H$24-'Owner Occupier'!$D$52)/('Owner Occupier'!$D$56-'Owner Occupier'!$D$52)*B18</f>
        <v>262.85306423406979</v>
      </c>
      <c r="G18" s="4">
        <f t="shared" si="2"/>
        <v>3846.8663993284972</v>
      </c>
    </row>
    <row r="19" spans="1:7" x14ac:dyDescent="0.25">
      <c r="A19">
        <v>16</v>
      </c>
      <c r="B19" s="4">
        <f>-PPMT('Owner Occupier'!$D$41/12,'FHA Amotization'!$A19,360,'Owner Occupier'!$D$40,0,0)</f>
        <v>548.15076869718189</v>
      </c>
      <c r="C19" s="4">
        <f>-IPMT('Owner Occupier'!$D$41/12,'FHA Amotization'!$A19,360,'Owner Occupier'!$D$40,0,0)</f>
        <v>1308.0122313293718</v>
      </c>
      <c r="D19" s="4">
        <f t="shared" si="0"/>
        <v>1856.1630000265536</v>
      </c>
      <c r="E19" s="3">
        <f t="shared" si="1"/>
        <v>368772.94984194892</v>
      </c>
      <c r="F19" s="4">
        <f>('Owner Occupier'!$H$24-'Owner Occupier'!$D$52)/('Owner Occupier'!$D$56-'Owner Occupier'!$D$52)*B19</f>
        <v>263.78400216989877</v>
      </c>
      <c r="G19" s="4">
        <f t="shared" si="2"/>
        <v>4110.6504014983957</v>
      </c>
    </row>
    <row r="20" spans="1:7" x14ac:dyDescent="0.25">
      <c r="A20">
        <v>17</v>
      </c>
      <c r="B20" s="4">
        <f>-PPMT('Owner Occupier'!$D$41/12,'FHA Amotization'!$A20,360,'Owner Occupier'!$D$40,0,0)</f>
        <v>550.09213600298449</v>
      </c>
      <c r="C20" s="4">
        <f>-IPMT('Owner Occupier'!$D$41/12,'FHA Amotization'!$A20,360,'Owner Occupier'!$D$40,0,0)</f>
        <v>1306.0708640235691</v>
      </c>
      <c r="D20" s="4">
        <f t="shared" si="0"/>
        <v>1856.1630000265536</v>
      </c>
      <c r="E20" s="3">
        <f t="shared" si="1"/>
        <v>368222.85770594596</v>
      </c>
      <c r="F20" s="4">
        <f>('Owner Occupier'!$H$24-'Owner Occupier'!$D$52)/('Owner Occupier'!$D$56-'Owner Occupier'!$D$52)*B20</f>
        <v>264.71823717758383</v>
      </c>
      <c r="G20" s="4">
        <f t="shared" si="2"/>
        <v>4375.3686386759791</v>
      </c>
    </row>
    <row r="21" spans="1:7" x14ac:dyDescent="0.25">
      <c r="A21">
        <v>18</v>
      </c>
      <c r="B21" s="4">
        <f>-PPMT('Owner Occupier'!$D$41/12,'FHA Amotization'!$A21,360,'Owner Occupier'!$D$40,0,0)</f>
        <v>552.04037898466163</v>
      </c>
      <c r="C21" s="4">
        <f>-IPMT('Owner Occupier'!$D$41/12,'FHA Amotization'!$A21,360,'Owner Occupier'!$D$40,0,0)</f>
        <v>1304.1226210418922</v>
      </c>
      <c r="D21" s="4">
        <f t="shared" si="0"/>
        <v>1856.1630000265538</v>
      </c>
      <c r="E21" s="3">
        <f t="shared" si="1"/>
        <v>367670.81732696132</v>
      </c>
      <c r="F21" s="4">
        <f>('Owner Occupier'!$H$24-'Owner Occupier'!$D$52)/('Owner Occupier'!$D$56-'Owner Occupier'!$D$52)*B21</f>
        <v>265.65578093425438</v>
      </c>
      <c r="G21" s="4">
        <f t="shared" si="2"/>
        <v>4641.024419610234</v>
      </c>
    </row>
    <row r="22" spans="1:7" x14ac:dyDescent="0.25">
      <c r="A22">
        <v>19</v>
      </c>
      <c r="B22" s="4">
        <f>-PPMT('Owner Occupier'!$D$41/12,'FHA Amotization'!$A22,360,'Owner Occupier'!$D$40,0,0)</f>
        <v>553.99552199356572</v>
      </c>
      <c r="C22" s="4">
        <f>-IPMT('Owner Occupier'!$D$41/12,'FHA Amotization'!$A22,360,'Owner Occupier'!$D$40,0,0)</f>
        <v>1302.1674780329879</v>
      </c>
      <c r="D22" s="4">
        <f t="shared" si="0"/>
        <v>1856.1630000265536</v>
      </c>
      <c r="E22" s="3">
        <f t="shared" si="1"/>
        <v>367116.82180496777</v>
      </c>
      <c r="F22" s="4">
        <f>('Owner Occupier'!$H$24-'Owner Occupier'!$D$52)/('Owner Occupier'!$D$56-'Owner Occupier'!$D$52)*B22</f>
        <v>266.5966451583966</v>
      </c>
      <c r="G22" s="4">
        <f t="shared" si="2"/>
        <v>4907.6210647686303</v>
      </c>
    </row>
    <row r="23" spans="1:7" x14ac:dyDescent="0.25">
      <c r="A23">
        <v>20</v>
      </c>
      <c r="B23" s="4">
        <f>-PPMT('Owner Occupier'!$D$41/12,'FHA Amotization'!$A23,360,'Owner Occupier'!$D$40,0,0)</f>
        <v>555.95758946729302</v>
      </c>
      <c r="C23" s="4">
        <f>-IPMT('Owner Occupier'!$D$41/12,'FHA Amotization'!$A23,360,'Owner Occupier'!$D$40,0,0)</f>
        <v>1300.2054105592608</v>
      </c>
      <c r="D23" s="4">
        <f t="shared" si="0"/>
        <v>1856.1630000265538</v>
      </c>
      <c r="E23" s="3">
        <f t="shared" si="1"/>
        <v>366560.86421550048</v>
      </c>
      <c r="F23" s="4">
        <f>('Owner Occupier'!$H$24-'Owner Occupier'!$D$52)/('Owner Occupier'!$D$56-'Owner Occupier'!$D$52)*B23</f>
        <v>267.54084160999929</v>
      </c>
      <c r="G23" s="4">
        <f t="shared" si="2"/>
        <v>5175.1619063786293</v>
      </c>
    </row>
    <row r="24" spans="1:7" x14ac:dyDescent="0.25">
      <c r="A24">
        <v>21</v>
      </c>
      <c r="B24" s="4">
        <f>-PPMT('Owner Occupier'!$D$41/12,'FHA Amotization'!$A24,360,'Owner Occupier'!$D$40,0,0)</f>
        <v>557.92660592998948</v>
      </c>
      <c r="C24" s="4">
        <f>-IPMT('Owner Occupier'!$D$41/12,'FHA Amotization'!$A24,360,'Owner Occupier'!$D$40,0,0)</f>
        <v>1298.236394096564</v>
      </c>
      <c r="D24" s="4">
        <f t="shared" si="0"/>
        <v>1856.1630000265536</v>
      </c>
      <c r="E24" s="3">
        <f t="shared" si="1"/>
        <v>366002.93760957051</v>
      </c>
      <c r="F24" s="4">
        <f>('Owner Occupier'!$H$24-'Owner Occupier'!$D$52)/('Owner Occupier'!$D$56-'Owner Occupier'!$D$52)*B24</f>
        <v>268.48838209070129</v>
      </c>
      <c r="G24" s="4">
        <f t="shared" si="2"/>
        <v>5443.6502884693309</v>
      </c>
    </row>
    <row r="25" spans="1:7" x14ac:dyDescent="0.25">
      <c r="A25">
        <v>22</v>
      </c>
      <c r="B25" s="4">
        <f>-PPMT('Owner Occupier'!$D$41/12,'FHA Amotization'!$A25,360,'Owner Occupier'!$D$40,0,0)</f>
        <v>559.90259599265823</v>
      </c>
      <c r="C25" s="4">
        <f>-IPMT('Owner Occupier'!$D$41/12,'FHA Amotization'!$A25,360,'Owner Occupier'!$D$40,0,0)</f>
        <v>1296.2604040338954</v>
      </c>
      <c r="D25" s="4">
        <f t="shared" si="0"/>
        <v>1856.1630000265536</v>
      </c>
      <c r="E25" s="3">
        <f t="shared" si="1"/>
        <v>365443.03501357784</v>
      </c>
      <c r="F25" s="4">
        <f>('Owner Occupier'!$H$24-'Owner Occupier'!$D$52)/('Owner Occupier'!$D$56-'Owner Occupier'!$D$52)*B25</f>
        <v>269.4392784439392</v>
      </c>
      <c r="G25" s="4">
        <f t="shared" si="2"/>
        <v>5713.0895669132697</v>
      </c>
    </row>
    <row r="26" spans="1:7" x14ac:dyDescent="0.25">
      <c r="A26">
        <v>23</v>
      </c>
      <c r="B26" s="4">
        <f>-PPMT('Owner Occupier'!$D$41/12,'FHA Amotization'!$A26,360,'Owner Occupier'!$D$40,0,0)</f>
        <v>561.88558435346567</v>
      </c>
      <c r="C26" s="4">
        <f>-IPMT('Owner Occupier'!$D$41/12,'FHA Amotization'!$A26,360,'Owner Occupier'!$D$40,0,0)</f>
        <v>1294.2774156730882</v>
      </c>
      <c r="D26" s="4">
        <f t="shared" si="0"/>
        <v>1856.1630000265538</v>
      </c>
      <c r="E26" s="3">
        <f t="shared" si="1"/>
        <v>364881.14942922437</v>
      </c>
      <c r="F26" s="4">
        <f>('Owner Occupier'!$H$24-'Owner Occupier'!$D$52)/('Owner Occupier'!$D$56-'Owner Occupier'!$D$52)*B26</f>
        <v>270.39354255509488</v>
      </c>
      <c r="G26" s="4">
        <f t="shared" si="2"/>
        <v>5983.483109468365</v>
      </c>
    </row>
    <row r="27" spans="1:7" x14ac:dyDescent="0.25">
      <c r="A27">
        <v>24</v>
      </c>
      <c r="B27" s="4">
        <f>-PPMT('Owner Occupier'!$D$41/12,'FHA Amotization'!$A27,360,'Owner Occupier'!$D$40,0,0)</f>
        <v>563.87559579805088</v>
      </c>
      <c r="C27" s="4">
        <f>-IPMT('Owner Occupier'!$D$41/12,'FHA Amotization'!$A27,360,'Owner Occupier'!$D$40,0,0)</f>
        <v>1292.2874042285027</v>
      </c>
      <c r="D27" s="4">
        <f t="shared" si="0"/>
        <v>1856.1630000265536</v>
      </c>
      <c r="E27" s="3">
        <f t="shared" si="1"/>
        <v>364317.2738334263</v>
      </c>
      <c r="F27" s="4">
        <f>('Owner Occupier'!$H$24-'Owner Occupier'!$D$52)/('Owner Occupier'!$D$56-'Owner Occupier'!$D$52)*B27</f>
        <v>271.35118635164417</v>
      </c>
      <c r="G27" s="4">
        <f t="shared" si="2"/>
        <v>6254.8342958200092</v>
      </c>
    </row>
    <row r="28" spans="1:7" x14ac:dyDescent="0.25">
      <c r="A28">
        <v>25</v>
      </c>
      <c r="B28" s="4">
        <f>-PPMT('Owner Occupier'!$D$41/12,'FHA Amotization'!$A28,360,'Owner Occupier'!$D$40,0,0)</f>
        <v>565.87265519983555</v>
      </c>
      <c r="C28" s="4">
        <f>-IPMT('Owner Occupier'!$D$41/12,'FHA Amotization'!$A28,360,'Owner Occupier'!$D$40,0,0)</f>
        <v>1290.2903448267182</v>
      </c>
      <c r="D28" s="4">
        <f t="shared" si="0"/>
        <v>1856.1630000265536</v>
      </c>
      <c r="E28" s="3">
        <f t="shared" si="1"/>
        <v>363751.40117822646</v>
      </c>
      <c r="F28" s="4">
        <f>('Owner Occupier'!$H$24-'Owner Occupier'!$D$52)/('Owner Occupier'!$D$56-'Owner Occupier'!$D$52)*B28</f>
        <v>272.31222180330622</v>
      </c>
      <c r="G28" s="4">
        <f t="shared" si="2"/>
        <v>6527.146517623315</v>
      </c>
    </row>
    <row r="29" spans="1:7" x14ac:dyDescent="0.25">
      <c r="A29">
        <v>26</v>
      </c>
      <c r="B29" s="4">
        <f>-PPMT('Owner Occupier'!$D$41/12,'FHA Amotization'!$A29,360,'Owner Occupier'!$D$40,0,0)</f>
        <v>567.87678752033503</v>
      </c>
      <c r="C29" s="4">
        <f>-IPMT('Owner Occupier'!$D$41/12,'FHA Amotization'!$A29,360,'Owner Occupier'!$D$40,0,0)</f>
        <v>1288.2862125062186</v>
      </c>
      <c r="D29" s="4">
        <f t="shared" si="0"/>
        <v>1856.1630000265536</v>
      </c>
      <c r="E29" s="3">
        <f t="shared" si="1"/>
        <v>363183.52439070609</v>
      </c>
      <c r="F29" s="4">
        <f>('Owner Occupier'!$H$24-'Owner Occupier'!$D$52)/('Owner Occupier'!$D$56-'Owner Occupier'!$D$52)*B29</f>
        <v>273.27666092219295</v>
      </c>
      <c r="G29" s="4">
        <f t="shared" si="2"/>
        <v>6800.4231785455077</v>
      </c>
    </row>
    <row r="30" spans="1:7" x14ac:dyDescent="0.25">
      <c r="A30">
        <v>27</v>
      </c>
      <c r="B30" s="4">
        <f>-PPMT('Owner Occupier'!$D$41/12,'FHA Amotization'!$A30,360,'Owner Occupier'!$D$40,0,0)</f>
        <v>569.88801780946949</v>
      </c>
      <c r="C30" s="4">
        <f>-IPMT('Owner Occupier'!$D$41/12,'FHA Amotization'!$A30,360,'Owner Occupier'!$D$40,0,0)</f>
        <v>1286.2749822170842</v>
      </c>
      <c r="D30" s="4">
        <f t="shared" si="0"/>
        <v>1856.1630000265536</v>
      </c>
      <c r="E30" s="3">
        <f t="shared" si="1"/>
        <v>362613.63637289661</v>
      </c>
      <c r="F30" s="4">
        <f>('Owner Occupier'!$H$24-'Owner Occupier'!$D$52)/('Owner Occupier'!$D$56-'Owner Occupier'!$D$52)*B30</f>
        <v>274.244515762959</v>
      </c>
      <c r="G30" s="4">
        <f t="shared" si="2"/>
        <v>7074.6676943084667</v>
      </c>
    </row>
    <row r="31" spans="1:7" x14ac:dyDescent="0.25">
      <c r="A31">
        <v>28</v>
      </c>
      <c r="B31" s="4">
        <f>-PPMT('Owner Occupier'!$D$41/12,'FHA Amotization'!$A31,360,'Owner Occupier'!$D$40,0,0)</f>
        <v>571.90637120587814</v>
      </c>
      <c r="C31" s="4">
        <f>-IPMT('Owner Occupier'!$D$41/12,'FHA Amotization'!$A31,360,'Owner Occupier'!$D$40,0,0)</f>
        <v>1284.2566288206754</v>
      </c>
      <c r="D31" s="4">
        <f t="shared" si="0"/>
        <v>1856.1630000265536</v>
      </c>
      <c r="E31" s="3">
        <f t="shared" si="1"/>
        <v>362041.73000169074</v>
      </c>
      <c r="F31" s="4">
        <f>('Owner Occupier'!$H$24-'Owner Occupier'!$D$52)/('Owner Occupier'!$D$56-'Owner Occupier'!$D$52)*B31</f>
        <v>275.2157984229529</v>
      </c>
      <c r="G31" s="4">
        <f t="shared" si="2"/>
        <v>7349.8834927314192</v>
      </c>
    </row>
    <row r="32" spans="1:7" x14ac:dyDescent="0.25">
      <c r="A32">
        <v>29</v>
      </c>
      <c r="B32" s="4">
        <f>-PPMT('Owner Occupier'!$D$41/12,'FHA Amotization'!$A32,360,'Owner Occupier'!$D$40,0,0)</f>
        <v>573.93187293723213</v>
      </c>
      <c r="C32" s="4">
        <f>-IPMT('Owner Occupier'!$D$41/12,'FHA Amotization'!$A32,360,'Owner Occupier'!$D$40,0,0)</f>
        <v>1282.2311270893215</v>
      </c>
      <c r="D32" s="4">
        <f t="shared" si="0"/>
        <v>1856.1630000265536</v>
      </c>
      <c r="E32" s="3">
        <f t="shared" si="1"/>
        <v>361467.79812875349</v>
      </c>
      <c r="F32" s="4">
        <f>('Owner Occupier'!$H$24-'Owner Occupier'!$D$52)/('Owner Occupier'!$D$56-'Owner Occupier'!$D$52)*B32</f>
        <v>276.19052104236744</v>
      </c>
      <c r="G32" s="4">
        <f t="shared" si="2"/>
        <v>7626.0740137737866</v>
      </c>
    </row>
    <row r="33" spans="1:7" x14ac:dyDescent="0.25">
      <c r="A33">
        <v>30</v>
      </c>
      <c r="B33" s="4">
        <f>-PPMT('Owner Occupier'!$D$41/12,'FHA Amotization'!$A33,360,'Owner Occupier'!$D$40,0,0)</f>
        <v>575.96454832055156</v>
      </c>
      <c r="C33" s="4">
        <f>-IPMT('Owner Occupier'!$D$41/12,'FHA Amotization'!$A33,360,'Owner Occupier'!$D$40,0,0)</f>
        <v>1280.1984517060021</v>
      </c>
      <c r="D33" s="4">
        <f t="shared" si="0"/>
        <v>1856.1630000265536</v>
      </c>
      <c r="E33" s="3">
        <f t="shared" si="1"/>
        <v>360891.83358043293</v>
      </c>
      <c r="F33" s="4">
        <f>('Owner Occupier'!$H$24-'Owner Occupier'!$D$52)/('Owner Occupier'!$D$56-'Owner Occupier'!$D$52)*B33</f>
        <v>277.16869580439248</v>
      </c>
      <c r="G33" s="4">
        <f t="shared" si="2"/>
        <v>7903.2427095781795</v>
      </c>
    </row>
    <row r="34" spans="1:7" x14ac:dyDescent="0.25">
      <c r="A34">
        <v>31</v>
      </c>
      <c r="B34" s="4">
        <f>-PPMT('Owner Occupier'!$D$41/12,'FHA Amotization'!$A34,360,'Owner Occupier'!$D$40,0,0)</f>
        <v>578.00442276252011</v>
      </c>
      <c r="C34" s="4">
        <f>-IPMT('Owner Occupier'!$D$41/12,'FHA Amotization'!$A34,360,'Owner Occupier'!$D$40,0,0)</f>
        <v>1278.1585772640335</v>
      </c>
      <c r="D34" s="4">
        <f t="shared" si="0"/>
        <v>1856.1630000265536</v>
      </c>
      <c r="E34" s="3">
        <f t="shared" si="1"/>
        <v>360313.82915767038</v>
      </c>
      <c r="F34" s="4">
        <f>('Owner Occupier'!$H$24-'Owner Occupier'!$D$52)/('Owner Occupier'!$D$56-'Owner Occupier'!$D$52)*B34</f>
        <v>278.15033493536635</v>
      </c>
      <c r="G34" s="4">
        <f t="shared" si="2"/>
        <v>8181.3930445135456</v>
      </c>
    </row>
    <row r="35" spans="1:7" x14ac:dyDescent="0.25">
      <c r="A35">
        <v>32</v>
      </c>
      <c r="B35" s="4">
        <f>-PPMT('Owner Occupier'!$D$41/12,'FHA Amotization'!$A35,360,'Owner Occupier'!$D$40,0,0)</f>
        <v>580.05152175980413</v>
      </c>
      <c r="C35" s="4">
        <f>-IPMT('Owner Occupier'!$D$41/12,'FHA Amotization'!$A35,360,'Owner Occupier'!$D$40,0,0)</f>
        <v>1276.1114782667496</v>
      </c>
      <c r="D35" s="4">
        <f t="shared" si="0"/>
        <v>1856.1630000265536</v>
      </c>
      <c r="E35" s="3">
        <f t="shared" si="1"/>
        <v>359733.77763591055</v>
      </c>
      <c r="F35" s="4">
        <f>('Owner Occupier'!$H$24-'Owner Occupier'!$D$52)/('Owner Occupier'!$D$56-'Owner Occupier'!$D$52)*B35</f>
        <v>279.13545070492916</v>
      </c>
      <c r="G35" s="4">
        <f t="shared" si="2"/>
        <v>8460.5284952184757</v>
      </c>
    </row>
    <row r="36" spans="1:7" x14ac:dyDescent="0.25">
      <c r="A36">
        <v>33</v>
      </c>
      <c r="B36" s="4">
        <f>-PPMT('Owner Occupier'!$D$41/12,'FHA Amotization'!$A36,360,'Owner Occupier'!$D$40,0,0)</f>
        <v>582.10587089937007</v>
      </c>
      <c r="C36" s="4">
        <f>-IPMT('Owner Occupier'!$D$41/12,'FHA Amotization'!$A36,360,'Owner Occupier'!$D$40,0,0)</f>
        <v>1274.0571291271835</v>
      </c>
      <c r="D36" s="4">
        <f t="shared" si="0"/>
        <v>1856.1630000265536</v>
      </c>
      <c r="E36" s="3">
        <f t="shared" si="1"/>
        <v>359151.67176501115</v>
      </c>
      <c r="F36" s="4">
        <f>('Owner Occupier'!$H$24-'Owner Occupier'!$D$52)/('Owner Occupier'!$D$56-'Owner Occupier'!$D$52)*B36</f>
        <v>280.12405542617574</v>
      </c>
      <c r="G36" s="4">
        <f t="shared" si="2"/>
        <v>8740.6525506446505</v>
      </c>
    </row>
    <row r="37" spans="1:7" x14ac:dyDescent="0.25">
      <c r="A37">
        <v>34</v>
      </c>
      <c r="B37" s="4">
        <f>-PPMT('Owner Occupier'!$D$41/12,'FHA Amotization'!$A37,360,'Owner Occupier'!$D$40,0,0)</f>
        <v>584.16749585880541</v>
      </c>
      <c r="C37" s="4">
        <f>-IPMT('Owner Occupier'!$D$41/12,'FHA Amotization'!$A37,360,'Owner Occupier'!$D$40,0,0)</f>
        <v>1271.9955041677483</v>
      </c>
      <c r="D37" s="4">
        <f t="shared" si="0"/>
        <v>1856.1630000265536</v>
      </c>
      <c r="E37" s="3">
        <f t="shared" si="1"/>
        <v>358567.50426915236</v>
      </c>
      <c r="F37" s="4">
        <f>('Owner Occupier'!$H$24-'Owner Occupier'!$D$52)/('Owner Occupier'!$D$56-'Owner Occupier'!$D$52)*B37</f>
        <v>281.11616145581019</v>
      </c>
      <c r="G37" s="4">
        <f t="shared" si="2"/>
        <v>9021.7687121004601</v>
      </c>
    </row>
    <row r="38" spans="1:7" x14ac:dyDescent="0.25">
      <c r="A38">
        <v>35</v>
      </c>
      <c r="B38" s="4">
        <f>-PPMT('Owner Occupier'!$D$41/12,'FHA Amotization'!$A38,360,'Owner Occupier'!$D$40,0,0)</f>
        <v>586.23642240663855</v>
      </c>
      <c r="C38" s="4">
        <f>-IPMT('Owner Occupier'!$D$41/12,'FHA Amotization'!$A38,360,'Owner Occupier'!$D$40,0,0)</f>
        <v>1269.9265776199152</v>
      </c>
      <c r="D38" s="4">
        <f t="shared" si="0"/>
        <v>1856.1630000265536</v>
      </c>
      <c r="E38" s="3">
        <f t="shared" si="1"/>
        <v>357981.26784674573</v>
      </c>
      <c r="F38" s="4">
        <f>('Owner Occupier'!$H$24-'Owner Occupier'!$D$52)/('Owner Occupier'!$D$56-'Owner Occupier'!$D$52)*B38</f>
        <v>282.11178119429945</v>
      </c>
      <c r="G38" s="4">
        <f t="shared" si="2"/>
        <v>9303.8804932947587</v>
      </c>
    </row>
    <row r="39" spans="1:7" x14ac:dyDescent="0.25">
      <c r="A39">
        <v>36</v>
      </c>
      <c r="B39" s="4">
        <f>-PPMT('Owner Occupier'!$D$41/12,'FHA Amotization'!$A39,360,'Owner Occupier'!$D$40,0,0)</f>
        <v>588.31267640266219</v>
      </c>
      <c r="C39" s="4">
        <f>-IPMT('Owner Occupier'!$D$41/12,'FHA Amotization'!$A39,360,'Owner Occupier'!$D$40,0,0)</f>
        <v>1267.8503236238914</v>
      </c>
      <c r="D39" s="4">
        <f t="shared" si="0"/>
        <v>1856.1630000265536</v>
      </c>
      <c r="E39" s="3">
        <f t="shared" si="1"/>
        <v>357392.95517034305</v>
      </c>
      <c r="F39" s="4">
        <f>('Owner Occupier'!$H$24-'Owner Occupier'!$D$52)/('Owner Occupier'!$D$56-'Owner Occupier'!$D$52)*B39</f>
        <v>283.11092708602933</v>
      </c>
      <c r="G39" s="4">
        <f t="shared" si="2"/>
        <v>9586.9914203807875</v>
      </c>
    </row>
    <row r="40" spans="1:7" x14ac:dyDescent="0.25">
      <c r="A40">
        <v>37</v>
      </c>
      <c r="B40" s="4">
        <f>-PPMT('Owner Occupier'!$D$41/12,'FHA Amotization'!$A40,360,'Owner Occupier'!$D$40,0,0)</f>
        <v>590.3962837982549</v>
      </c>
      <c r="C40" s="4">
        <f>-IPMT('Owner Occupier'!$D$41/12,'FHA Amotization'!$A40,360,'Owner Occupier'!$D$40,0,0)</f>
        <v>1265.7667162282987</v>
      </c>
      <c r="D40" s="4">
        <f t="shared" si="0"/>
        <v>1856.1630000265536</v>
      </c>
      <c r="E40" s="3">
        <f t="shared" si="1"/>
        <v>356802.55888654478</v>
      </c>
      <c r="F40" s="4">
        <f>('Owner Occupier'!$H$24-'Owner Occupier'!$D$52)/('Owner Occupier'!$D$56-'Owner Occupier'!$D$52)*B40</f>
        <v>284.11361161945899</v>
      </c>
      <c r="G40" s="4">
        <f t="shared" si="2"/>
        <v>9871.1050320002469</v>
      </c>
    </row>
    <row r="41" spans="1:7" x14ac:dyDescent="0.25">
      <c r="A41">
        <v>38</v>
      </c>
      <c r="B41" s="4">
        <f>-PPMT('Owner Occupier'!$D$41/12,'FHA Amotization'!$A41,360,'Owner Occupier'!$D$40,0,0)</f>
        <v>592.48727063670708</v>
      </c>
      <c r="C41" s="4">
        <f>-IPMT('Owner Occupier'!$D$41/12,'FHA Amotization'!$A41,360,'Owner Occupier'!$D$40,0,0)</f>
        <v>1263.6757293898465</v>
      </c>
      <c r="D41" s="4">
        <f t="shared" si="0"/>
        <v>1856.1630000265536</v>
      </c>
      <c r="E41" s="3">
        <f t="shared" si="1"/>
        <v>356210.07161590806</v>
      </c>
      <c r="F41" s="4">
        <f>('Owner Occupier'!$H$24-'Owner Occupier'!$D$52)/('Owner Occupier'!$D$56-'Owner Occupier'!$D$52)*B41</f>
        <v>285.11984732727791</v>
      </c>
      <c r="G41" s="4">
        <f t="shared" si="2"/>
        <v>10156.224879327525</v>
      </c>
    </row>
    <row r="42" spans="1:7" x14ac:dyDescent="0.25">
      <c r="A42">
        <v>39</v>
      </c>
      <c r="B42" s="4">
        <f>-PPMT('Owner Occupier'!$D$41/12,'FHA Amotization'!$A42,360,'Owner Occupier'!$D$40,0,0)</f>
        <v>594.58566305354532</v>
      </c>
      <c r="C42" s="4">
        <f>-IPMT('Owner Occupier'!$D$41/12,'FHA Amotization'!$A42,360,'Owner Occupier'!$D$40,0,0)</f>
        <v>1261.5773369730084</v>
      </c>
      <c r="D42" s="4">
        <f t="shared" si="0"/>
        <v>1856.1630000265536</v>
      </c>
      <c r="E42" s="3">
        <f t="shared" si="1"/>
        <v>355615.48595285451</v>
      </c>
      <c r="F42" s="4">
        <f>('Owner Occupier'!$H$24-'Owner Occupier'!$D$52)/('Owner Occupier'!$D$56-'Owner Occupier'!$D$52)*B42</f>
        <v>286.12964678656198</v>
      </c>
      <c r="G42" s="4">
        <f t="shared" si="2"/>
        <v>10442.354526114086</v>
      </c>
    </row>
    <row r="43" spans="1:7" x14ac:dyDescent="0.25">
      <c r="A43">
        <v>40</v>
      </c>
      <c r="B43" s="4">
        <f>-PPMT('Owner Occupier'!$D$41/12,'FHA Amotization'!$A43,360,'Owner Occupier'!$D$40,0,0)</f>
        <v>596.69148727686002</v>
      </c>
      <c r="C43" s="4">
        <f>-IPMT('Owner Occupier'!$D$41/12,'FHA Amotization'!$A43,360,'Owner Occupier'!$D$40,0,0)</f>
        <v>1259.4715127496938</v>
      </c>
      <c r="D43" s="4">
        <f t="shared" si="0"/>
        <v>1856.1630000265538</v>
      </c>
      <c r="E43" s="3">
        <f t="shared" si="1"/>
        <v>355018.79446557764</v>
      </c>
      <c r="F43" s="4">
        <f>('Owner Occupier'!$H$24-'Owner Occupier'!$D$52)/('Owner Occupier'!$D$56-'Owner Occupier'!$D$52)*B43</f>
        <v>287.14302261893107</v>
      </c>
      <c r="G43" s="4">
        <f t="shared" si="2"/>
        <v>10729.497548733018</v>
      </c>
    </row>
    <row r="44" spans="1:7" x14ac:dyDescent="0.25">
      <c r="A44">
        <v>41</v>
      </c>
      <c r="B44" s="4">
        <f>-PPMT('Owner Occupier'!$D$41/12,'FHA Amotization'!$A44,360,'Owner Occupier'!$D$40,0,0)</f>
        <v>598.80476962763225</v>
      </c>
      <c r="C44" s="4">
        <f>-IPMT('Owner Occupier'!$D$41/12,'FHA Amotization'!$A44,360,'Owner Occupier'!$D$40,0,0)</f>
        <v>1257.3582303989215</v>
      </c>
      <c r="D44" s="4">
        <f t="shared" si="0"/>
        <v>1856.1630000265536</v>
      </c>
      <c r="E44" s="3">
        <f t="shared" si="1"/>
        <v>354419.98969595</v>
      </c>
      <c r="F44" s="4">
        <f>('Owner Occupier'!$H$24-'Owner Occupier'!$D$52)/('Owner Occupier'!$D$56-'Owner Occupier'!$D$52)*B44</f>
        <v>288.15998749070644</v>
      </c>
      <c r="G44" s="4">
        <f t="shared" si="2"/>
        <v>11017.657536223724</v>
      </c>
    </row>
    <row r="45" spans="1:7" x14ac:dyDescent="0.25">
      <c r="A45">
        <v>42</v>
      </c>
      <c r="B45" s="4">
        <f>-PPMT('Owner Occupier'!$D$41/12,'FHA Amotization'!$A45,360,'Owner Occupier'!$D$40,0,0)</f>
        <v>600.92553652006347</v>
      </c>
      <c r="C45" s="4">
        <f>-IPMT('Owner Occupier'!$D$41/12,'FHA Amotization'!$A45,360,'Owner Occupier'!$D$40,0,0)</f>
        <v>1255.2374635064903</v>
      </c>
      <c r="D45" s="4">
        <f t="shared" si="0"/>
        <v>1856.1630000265536</v>
      </c>
      <c r="E45" s="3">
        <f t="shared" si="1"/>
        <v>353819.06415942992</v>
      </c>
      <c r="F45" s="4">
        <f>('Owner Occupier'!$H$24-'Owner Occupier'!$D$52)/('Owner Occupier'!$D$56-'Owner Occupier'!$D$52)*B45</f>
        <v>289.18055411306938</v>
      </c>
      <c r="G45" s="4">
        <f t="shared" si="2"/>
        <v>11306.838090336792</v>
      </c>
    </row>
    <row r="46" spans="1:7" x14ac:dyDescent="0.25">
      <c r="A46">
        <v>43</v>
      </c>
      <c r="B46" s="4">
        <f>-PPMT('Owner Occupier'!$D$41/12,'FHA Amotization'!$A46,360,'Owner Occupier'!$D$40,0,0)</f>
        <v>603.05381446190529</v>
      </c>
      <c r="C46" s="4">
        <f>-IPMT('Owner Occupier'!$D$41/12,'FHA Amotization'!$A46,360,'Owner Occupier'!$D$40,0,0)</f>
        <v>1253.1091855646484</v>
      </c>
      <c r="D46" s="4">
        <f t="shared" si="0"/>
        <v>1856.1630000265536</v>
      </c>
      <c r="E46" s="3">
        <f t="shared" si="1"/>
        <v>353216.010344968</v>
      </c>
      <c r="F46" s="4">
        <f>('Owner Occupier'!$H$24-'Owner Occupier'!$D$52)/('Owner Occupier'!$D$56-'Owner Occupier'!$D$52)*B46</f>
        <v>290.20473524221978</v>
      </c>
      <c r="G46" s="4">
        <f t="shared" si="2"/>
        <v>11597.042825579012</v>
      </c>
    </row>
    <row r="47" spans="1:7" x14ac:dyDescent="0.25">
      <c r="A47">
        <v>44</v>
      </c>
      <c r="B47" s="4">
        <f>-PPMT('Owner Occupier'!$D$41/12,'FHA Amotization'!$A47,360,'Owner Occupier'!$D$40,0,0)</f>
        <v>605.18963005479134</v>
      </c>
      <c r="C47" s="4">
        <f>-IPMT('Owner Occupier'!$D$41/12,'FHA Amotization'!$A47,360,'Owner Occupier'!$D$40,0,0)</f>
        <v>1250.9733699717624</v>
      </c>
      <c r="D47" s="4">
        <f t="shared" si="0"/>
        <v>1856.1630000265536</v>
      </c>
      <c r="E47" s="3">
        <f t="shared" si="1"/>
        <v>352610.82071491319</v>
      </c>
      <c r="F47" s="4">
        <f>('Owner Occupier'!$H$24-'Owner Occupier'!$D$52)/('Owner Occupier'!$D$56-'Owner Occupier'!$D$52)*B47</f>
        <v>291.23254367953609</v>
      </c>
      <c r="G47" s="4">
        <f t="shared" si="2"/>
        <v>11888.275369258548</v>
      </c>
    </row>
    <row r="48" spans="1:7" x14ac:dyDescent="0.25">
      <c r="A48">
        <v>45</v>
      </c>
      <c r="B48" s="4">
        <f>-PPMT('Owner Occupier'!$D$41/12,'FHA Amotization'!$A48,360,'Owner Occupier'!$D$40,0,0)</f>
        <v>607.33300999456856</v>
      </c>
      <c r="C48" s="4">
        <f>-IPMT('Owner Occupier'!$D$41/12,'FHA Amotization'!$A48,360,'Owner Occupier'!$D$40,0,0)</f>
        <v>1248.8299900319851</v>
      </c>
      <c r="D48" s="4">
        <f t="shared" si="0"/>
        <v>1856.1630000265536</v>
      </c>
      <c r="E48" s="3">
        <f t="shared" si="1"/>
        <v>352003.4877049186</v>
      </c>
      <c r="F48" s="4">
        <f>('Owner Occupier'!$H$24-'Owner Occupier'!$D$52)/('Owner Occupier'!$D$56-'Owner Occupier'!$D$52)*B48</f>
        <v>292.26399227173437</v>
      </c>
      <c r="G48" s="4">
        <f t="shared" si="2"/>
        <v>12180.539361530282</v>
      </c>
    </row>
    <row r="49" spans="1:7" x14ac:dyDescent="0.25">
      <c r="A49">
        <v>46</v>
      </c>
      <c r="B49" s="4">
        <f>-PPMT('Owner Occupier'!$D$41/12,'FHA Amotization'!$A49,360,'Owner Occupier'!$D$40,0,0)</f>
        <v>609.4839810716328</v>
      </c>
      <c r="C49" s="4">
        <f>-IPMT('Owner Occupier'!$D$41/12,'FHA Amotization'!$A49,360,'Owner Occupier'!$D$40,0,0)</f>
        <v>1246.679018954921</v>
      </c>
      <c r="D49" s="4">
        <f t="shared" si="0"/>
        <v>1856.1630000265538</v>
      </c>
      <c r="E49" s="3">
        <f t="shared" si="1"/>
        <v>351394.00372384698</v>
      </c>
      <c r="F49" s="4">
        <f>('Owner Occupier'!$H$24-'Owner Occupier'!$D$52)/('Owner Occupier'!$D$56-'Owner Occupier'!$D$52)*B49</f>
        <v>293.29909391103013</v>
      </c>
      <c r="G49" s="4">
        <f t="shared" si="2"/>
        <v>12473.838455441311</v>
      </c>
    </row>
    <row r="50" spans="1:7" x14ac:dyDescent="0.25">
      <c r="A50">
        <v>47</v>
      </c>
      <c r="B50" s="4">
        <f>-PPMT('Owner Occupier'!$D$41/12,'FHA Amotization'!$A50,360,'Owner Occupier'!$D$40,0,0)</f>
        <v>611.64257017126135</v>
      </c>
      <c r="C50" s="4">
        <f>-IPMT('Owner Occupier'!$D$41/12,'FHA Amotization'!$A50,360,'Owner Occupier'!$D$40,0,0)</f>
        <v>1244.5204298552922</v>
      </c>
      <c r="D50" s="4">
        <f t="shared" si="0"/>
        <v>1856.1630000265536</v>
      </c>
      <c r="E50" s="3">
        <f t="shared" si="1"/>
        <v>350782.36115367571</v>
      </c>
      <c r="F50" s="4">
        <f>('Owner Occupier'!$H$24-'Owner Occupier'!$D$52)/('Owner Occupier'!$D$56-'Owner Occupier'!$D$52)*B50</f>
        <v>294.33786153529832</v>
      </c>
      <c r="G50" s="4">
        <f t="shared" si="2"/>
        <v>12768.176316976609</v>
      </c>
    </row>
    <row r="51" spans="1:7" x14ac:dyDescent="0.25">
      <c r="A51">
        <v>48</v>
      </c>
      <c r="B51" s="4">
        <f>-PPMT('Owner Occupier'!$D$41/12,'FHA Amotization'!$A51,360,'Owner Occupier'!$D$40,0,0)</f>
        <v>613.8088042739513</v>
      </c>
      <c r="C51" s="4">
        <f>-IPMT('Owner Occupier'!$D$41/12,'FHA Amotization'!$A51,360,'Owner Occupier'!$D$40,0,0)</f>
        <v>1242.3541957526024</v>
      </c>
      <c r="D51" s="4">
        <f t="shared" si="0"/>
        <v>1856.1630000265536</v>
      </c>
      <c r="E51" s="3">
        <f t="shared" si="1"/>
        <v>350168.55234940175</v>
      </c>
      <c r="F51" s="4">
        <f>('Owner Occupier'!$H$24-'Owner Occupier'!$D$52)/('Owner Occupier'!$D$56-'Owner Occupier'!$D$52)*B51</f>
        <v>295.38030812823587</v>
      </c>
      <c r="G51" s="4">
        <f t="shared" si="2"/>
        <v>13063.556625104846</v>
      </c>
    </row>
    <row r="52" spans="1:7" x14ac:dyDescent="0.25">
      <c r="A52">
        <v>49</v>
      </c>
      <c r="B52" s="4">
        <f>-PPMT('Owner Occupier'!$D$41/12,'FHA Amotization'!$A52,360,'Owner Occupier'!$D$40,0,0)</f>
        <v>615.98271045575495</v>
      </c>
      <c r="C52" s="4">
        <f>-IPMT('Owner Occupier'!$D$41/12,'FHA Amotization'!$A52,360,'Owner Occupier'!$D$40,0,0)</f>
        <v>1240.1802895707988</v>
      </c>
      <c r="D52" s="4">
        <f t="shared" si="0"/>
        <v>1856.1630000265536</v>
      </c>
      <c r="E52" s="3">
        <f t="shared" si="1"/>
        <v>349552.56963894598</v>
      </c>
      <c r="F52" s="4">
        <f>('Owner Occupier'!$H$24-'Owner Occupier'!$D$52)/('Owner Occupier'!$D$56-'Owner Occupier'!$D$52)*B52</f>
        <v>296.42644671952337</v>
      </c>
      <c r="G52" s="4">
        <f t="shared" si="2"/>
        <v>13359.983071824368</v>
      </c>
    </row>
    <row r="53" spans="1:7" x14ac:dyDescent="0.25">
      <c r="A53">
        <v>50</v>
      </c>
      <c r="B53" s="4">
        <f>-PPMT('Owner Occupier'!$D$41/12,'FHA Amotization'!$A53,360,'Owner Occupier'!$D$40,0,0)</f>
        <v>618.16431588861906</v>
      </c>
      <c r="C53" s="4">
        <f>-IPMT('Owner Occupier'!$D$41/12,'FHA Amotization'!$A53,360,'Owner Occupier'!$D$40,0,0)</f>
        <v>1237.9986841379346</v>
      </c>
      <c r="D53" s="4">
        <f t="shared" si="0"/>
        <v>1856.1630000265536</v>
      </c>
      <c r="E53" s="3">
        <f t="shared" si="1"/>
        <v>348934.40532305738</v>
      </c>
      <c r="F53" s="4">
        <f>('Owner Occupier'!$H$24-'Owner Occupier'!$D$52)/('Owner Occupier'!$D$56-'Owner Occupier'!$D$52)*B53</f>
        <v>297.47629038498837</v>
      </c>
      <c r="G53" s="4">
        <f t="shared" si="2"/>
        <v>13657.459362209356</v>
      </c>
    </row>
    <row r="54" spans="1:7" x14ac:dyDescent="0.25">
      <c r="A54">
        <v>51</v>
      </c>
      <c r="B54" s="4">
        <f>-PPMT('Owner Occupier'!$D$41/12,'FHA Amotization'!$A54,360,'Owner Occupier'!$D$40,0,0)</f>
        <v>620.35364784072442</v>
      </c>
      <c r="C54" s="4">
        <f>-IPMT('Owner Occupier'!$D$41/12,'FHA Amotization'!$A54,360,'Owner Occupier'!$D$40,0,0)</f>
        <v>1235.8093521858293</v>
      </c>
      <c r="D54" s="4">
        <f t="shared" si="0"/>
        <v>1856.1630000265536</v>
      </c>
      <c r="E54" s="3">
        <f t="shared" si="1"/>
        <v>348314.05167521664</v>
      </c>
      <c r="F54" s="4">
        <f>('Owner Occupier'!$H$24-'Owner Occupier'!$D$52)/('Owner Occupier'!$D$56-'Owner Occupier'!$D$52)*B54</f>
        <v>298.52985224676843</v>
      </c>
      <c r="G54" s="4">
        <f t="shared" si="2"/>
        <v>13955.989214456125</v>
      </c>
    </row>
    <row r="55" spans="1:7" x14ac:dyDescent="0.25">
      <c r="A55">
        <v>52</v>
      </c>
      <c r="B55" s="4">
        <f>-PPMT('Owner Occupier'!$D$41/12,'FHA Amotization'!$A55,360,'Owner Occupier'!$D$40,0,0)</f>
        <v>622.55073367682712</v>
      </c>
      <c r="C55" s="4">
        <f>-IPMT('Owner Occupier'!$D$41/12,'FHA Amotization'!$A55,360,'Owner Occupier'!$D$40,0,0)</f>
        <v>1233.6122663497265</v>
      </c>
      <c r="D55" s="4">
        <f t="shared" si="0"/>
        <v>1856.1630000265536</v>
      </c>
      <c r="E55" s="3">
        <f t="shared" si="1"/>
        <v>347691.50094153982</v>
      </c>
      <c r="F55" s="4">
        <f>('Owner Occupier'!$H$24-'Owner Occupier'!$D$52)/('Owner Occupier'!$D$56-'Owner Occupier'!$D$52)*B55</f>
        <v>299.5871454734758</v>
      </c>
      <c r="G55" s="4">
        <f t="shared" si="2"/>
        <v>14255.576359929601</v>
      </c>
    </row>
    <row r="56" spans="1:7" x14ac:dyDescent="0.25">
      <c r="A56">
        <v>53</v>
      </c>
      <c r="B56" s="4">
        <f>-PPMT('Owner Occupier'!$D$41/12,'FHA Amotization'!$A56,360,'Owner Occupier'!$D$40,0,0)</f>
        <v>624.75560085859922</v>
      </c>
      <c r="C56" s="4">
        <f>-IPMT('Owner Occupier'!$D$41/12,'FHA Amotization'!$A56,360,'Owner Occupier'!$D$40,0,0)</f>
        <v>1231.4073991679547</v>
      </c>
      <c r="D56" s="4">
        <f t="shared" si="0"/>
        <v>1856.1630000265541</v>
      </c>
      <c r="E56" s="3">
        <f t="shared" si="1"/>
        <v>347066.74534068123</v>
      </c>
      <c r="F56" s="4">
        <f>('Owner Occupier'!$H$24-'Owner Occupier'!$D$52)/('Owner Occupier'!$D$56-'Owner Occupier'!$D$52)*B56</f>
        <v>300.64818328036102</v>
      </c>
      <c r="G56" s="4">
        <f t="shared" si="2"/>
        <v>14556.224543209961</v>
      </c>
    </row>
    <row r="57" spans="1:7" x14ac:dyDescent="0.25">
      <c r="A57">
        <v>54</v>
      </c>
      <c r="B57" s="4">
        <f>-PPMT('Owner Occupier'!$D$41/12,'FHA Amotization'!$A57,360,'Owner Occupier'!$D$40,0,0)</f>
        <v>626.96827694497347</v>
      </c>
      <c r="C57" s="4">
        <f>-IPMT('Owner Occupier'!$D$41/12,'FHA Amotization'!$A57,360,'Owner Occupier'!$D$40,0,0)</f>
        <v>1229.1947230815802</v>
      </c>
      <c r="D57" s="4">
        <f t="shared" si="0"/>
        <v>1856.1630000265536</v>
      </c>
      <c r="E57" s="3">
        <f t="shared" si="1"/>
        <v>346439.77706373623</v>
      </c>
      <c r="F57" s="4">
        <f>('Owner Occupier'!$H$24-'Owner Occupier'!$D$52)/('Owner Occupier'!$D$56-'Owner Occupier'!$D$52)*B57</f>
        <v>301.71297892947899</v>
      </c>
      <c r="G57" s="4">
        <f t="shared" si="2"/>
        <v>14857.93752213944</v>
      </c>
    </row>
    <row r="58" spans="1:7" x14ac:dyDescent="0.25">
      <c r="A58">
        <v>55</v>
      </c>
      <c r="B58" s="4">
        <f>-PPMT('Owner Occupier'!$D$41/12,'FHA Amotization'!$A58,360,'Owner Occupier'!$D$40,0,0)</f>
        <v>629.18878959248684</v>
      </c>
      <c r="C58" s="4">
        <f>-IPMT('Owner Occupier'!$D$41/12,'FHA Amotization'!$A58,360,'Owner Occupier'!$D$40,0,0)</f>
        <v>1226.9742104340667</v>
      </c>
      <c r="D58" s="4">
        <f t="shared" si="0"/>
        <v>1856.1630000265536</v>
      </c>
      <c r="E58" s="3">
        <f t="shared" si="1"/>
        <v>345810.58827414375</v>
      </c>
      <c r="F58" s="4">
        <f>('Owner Occupier'!$H$24-'Owner Occupier'!$D$52)/('Owner Occupier'!$D$56-'Owner Occupier'!$D$52)*B58</f>
        <v>302.7815457298542</v>
      </c>
      <c r="G58" s="4">
        <f t="shared" si="2"/>
        <v>15160.719067869295</v>
      </c>
    </row>
    <row r="59" spans="1:7" x14ac:dyDescent="0.25">
      <c r="A59">
        <v>56</v>
      </c>
      <c r="B59" s="4">
        <f>-PPMT('Owner Occupier'!$D$41/12,'FHA Amotization'!$A59,360,'Owner Occupier'!$D$40,0,0)</f>
        <v>631.41716655562686</v>
      </c>
      <c r="C59" s="4">
        <f>-IPMT('Owner Occupier'!$D$41/12,'FHA Amotization'!$A59,360,'Owner Occupier'!$D$40,0,0)</f>
        <v>1224.7458334709268</v>
      </c>
      <c r="D59" s="4">
        <f t="shared" si="0"/>
        <v>1856.1630000265536</v>
      </c>
      <c r="E59" s="3">
        <f t="shared" si="1"/>
        <v>345179.1711075881</v>
      </c>
      <c r="F59" s="4">
        <f>('Owner Occupier'!$H$24-'Owner Occupier'!$D$52)/('Owner Occupier'!$D$56-'Owner Occupier'!$D$52)*B59</f>
        <v>303.85389703764741</v>
      </c>
      <c r="G59" s="4">
        <f t="shared" si="2"/>
        <v>15464.572964906942</v>
      </c>
    </row>
    <row r="60" spans="1:7" x14ac:dyDescent="0.25">
      <c r="A60">
        <v>57</v>
      </c>
      <c r="B60" s="4">
        <f>-PPMT('Owner Occupier'!$D$41/12,'FHA Amotization'!$A60,360,'Owner Occupier'!$D$40,0,0)</f>
        <v>633.6534356871781</v>
      </c>
      <c r="C60" s="4">
        <f>-IPMT('Owner Occupier'!$D$41/12,'FHA Amotization'!$A60,360,'Owner Occupier'!$D$40,0,0)</f>
        <v>1222.5095643393756</v>
      </c>
      <c r="D60" s="4">
        <f t="shared" si="0"/>
        <v>1856.1630000265536</v>
      </c>
      <c r="E60" s="3">
        <f t="shared" si="1"/>
        <v>344545.51767190092</v>
      </c>
      <c r="F60" s="4">
        <f>('Owner Occupier'!$H$24-'Owner Occupier'!$D$52)/('Owner Occupier'!$D$56-'Owner Occupier'!$D$52)*B60</f>
        <v>304.93004625632244</v>
      </c>
      <c r="G60" s="4">
        <f t="shared" si="2"/>
        <v>15769.503011163264</v>
      </c>
    </row>
    <row r="61" spans="1:7" x14ac:dyDescent="0.25">
      <c r="A61">
        <v>58</v>
      </c>
      <c r="B61" s="4">
        <f>-PPMT('Owner Occupier'!$D$41/12,'FHA Amotization'!$A61,360,'Owner Occupier'!$D$40,0,0)</f>
        <v>635.89762493857029</v>
      </c>
      <c r="C61" s="4">
        <f>-IPMT('Owner Occupier'!$D$41/12,'FHA Amotization'!$A61,360,'Owner Occupier'!$D$40,0,0)</f>
        <v>1220.2653750879833</v>
      </c>
      <c r="D61" s="4">
        <f t="shared" si="0"/>
        <v>1856.1630000265536</v>
      </c>
      <c r="E61" s="3">
        <f t="shared" si="1"/>
        <v>343909.62004696234</v>
      </c>
      <c r="F61" s="4">
        <f>('Owner Occupier'!$H$24-'Owner Occupier'!$D$52)/('Owner Occupier'!$D$56-'Owner Occupier'!$D$52)*B61</f>
        <v>306.01000683681366</v>
      </c>
      <c r="G61" s="4">
        <f t="shared" si="2"/>
        <v>16075.513018000078</v>
      </c>
    </row>
    <row r="62" spans="1:7" x14ac:dyDescent="0.25">
      <c r="A62">
        <v>59</v>
      </c>
      <c r="B62" s="4">
        <f>-PPMT('Owner Occupier'!$D$41/12,'FHA Amotization'!$A62,360,'Owner Occupier'!$D$40,0,0)</f>
        <v>638.14976236022756</v>
      </c>
      <c r="C62" s="4">
        <f>-IPMT('Owner Occupier'!$D$41/12,'FHA Amotization'!$A62,360,'Owner Occupier'!$D$40,0,0)</f>
        <v>1218.0132376663262</v>
      </c>
      <c r="D62" s="4">
        <f t="shared" si="0"/>
        <v>1856.1630000265536</v>
      </c>
      <c r="E62" s="3">
        <f t="shared" si="1"/>
        <v>343271.47028460214</v>
      </c>
      <c r="F62" s="4">
        <f>('Owner Occupier'!$H$24-'Owner Occupier'!$D$52)/('Owner Occupier'!$D$56-'Owner Occupier'!$D$52)*B62</f>
        <v>307.09379227769392</v>
      </c>
      <c r="G62" s="4">
        <f t="shared" si="2"/>
        <v>16382.606810277772</v>
      </c>
    </row>
    <row r="63" spans="1:7" x14ac:dyDescent="0.25">
      <c r="A63">
        <v>60</v>
      </c>
      <c r="B63" s="4">
        <f>-PPMT('Owner Occupier'!$D$41/12,'FHA Amotization'!$A63,360,'Owner Occupier'!$D$40,0,0)</f>
        <v>640.40987610192008</v>
      </c>
      <c r="C63" s="4">
        <f>-IPMT('Owner Occupier'!$D$41/12,'FHA Amotization'!$A63,360,'Owner Occupier'!$D$40,0,0)</f>
        <v>1215.7531239246337</v>
      </c>
      <c r="D63" s="4">
        <f t="shared" si="0"/>
        <v>1856.1630000265536</v>
      </c>
      <c r="E63" s="3">
        <f t="shared" si="1"/>
        <v>342631.0604085002</v>
      </c>
      <c r="F63" s="4">
        <f>('Owner Occupier'!$H$24-'Owner Occupier'!$D$52)/('Owner Occupier'!$D$56-'Owner Occupier'!$D$52)*B63</f>
        <v>308.18141612534413</v>
      </c>
      <c r="G63" s="4">
        <f t="shared" si="2"/>
        <v>16690.788226403114</v>
      </c>
    </row>
    <row r="64" spans="1:7" x14ac:dyDescent="0.25">
      <c r="A64">
        <v>61</v>
      </c>
      <c r="B64" s="4">
        <f>-PPMT('Owner Occupier'!$D$41/12,'FHA Amotization'!$A64,360,'Owner Occupier'!$D$40,0,0)</f>
        <v>642.67799441311433</v>
      </c>
      <c r="C64" s="4">
        <f>-IPMT('Owner Occupier'!$D$41/12,'FHA Amotization'!$A64,360,'Owner Occupier'!$D$40,0,0)</f>
        <v>1213.4850056134394</v>
      </c>
      <c r="D64" s="4">
        <f t="shared" si="0"/>
        <v>1856.1630000265536</v>
      </c>
      <c r="E64" s="3">
        <f t="shared" si="1"/>
        <v>341988.38241408707</v>
      </c>
      <c r="F64" s="4">
        <f>('Owner Occupier'!$H$24-'Owner Occupier'!$D$52)/('Owner Occupier'!$D$56-'Owner Occupier'!$D$52)*B64</f>
        <v>309.27289197412136</v>
      </c>
      <c r="G64" s="4">
        <f t="shared" si="2"/>
        <v>17000.061118377234</v>
      </c>
    </row>
    <row r="65" spans="1:7" x14ac:dyDescent="0.25">
      <c r="A65">
        <v>62</v>
      </c>
      <c r="B65" s="4">
        <f>-PPMT('Owner Occupier'!$D$41/12,'FHA Amotization'!$A65,360,'Owner Occupier'!$D$40,0,0)</f>
        <v>644.95414564332759</v>
      </c>
      <c r="C65" s="4">
        <f>-IPMT('Owner Occupier'!$D$41/12,'FHA Amotization'!$A65,360,'Owner Occupier'!$D$40,0,0)</f>
        <v>1211.2088543832263</v>
      </c>
      <c r="D65" s="4">
        <f t="shared" si="0"/>
        <v>1856.1630000265538</v>
      </c>
      <c r="E65" s="3">
        <f t="shared" si="1"/>
        <v>341343.42826844373</v>
      </c>
      <c r="F65" s="4">
        <f>('Owner Occupier'!$H$24-'Owner Occupier'!$D$52)/('Owner Occupier'!$D$56-'Owner Occupier'!$D$52)*B65</f>
        <v>310.36823346652977</v>
      </c>
      <c r="G65" s="4">
        <f t="shared" si="2"/>
        <v>17310.429351843763</v>
      </c>
    </row>
    <row r="66" spans="1:7" x14ac:dyDescent="0.25">
      <c r="A66">
        <v>63</v>
      </c>
      <c r="B66" s="4">
        <f>-PPMT('Owner Occupier'!$D$41/12,'FHA Amotization'!$A66,360,'Owner Occupier'!$D$40,0,0)</f>
        <v>647.2383582424809</v>
      </c>
      <c r="C66" s="4">
        <f>-IPMT('Owner Occupier'!$D$41/12,'FHA Amotization'!$A66,360,'Owner Occupier'!$D$40,0,0)</f>
        <v>1208.9246417840729</v>
      </c>
      <c r="D66" s="4">
        <f t="shared" si="0"/>
        <v>1856.1630000265538</v>
      </c>
      <c r="E66" s="3">
        <f t="shared" si="1"/>
        <v>340696.18991020124</v>
      </c>
      <c r="F66" s="4">
        <f>('Owner Occupier'!$H$24-'Owner Occupier'!$D$52)/('Owner Occupier'!$D$56-'Owner Occupier'!$D$52)*B66</f>
        <v>311.46745429339035</v>
      </c>
      <c r="G66" s="4">
        <f t="shared" si="2"/>
        <v>17621.896806137152</v>
      </c>
    </row>
    <row r="67" spans="1:7" x14ac:dyDescent="0.25">
      <c r="A67">
        <v>64</v>
      </c>
      <c r="B67" s="4">
        <f>-PPMT('Owner Occupier'!$D$41/12,'FHA Amotization'!$A67,360,'Owner Occupier'!$D$40,0,0)</f>
        <v>649.5306607612564</v>
      </c>
      <c r="C67" s="4">
        <f>-IPMT('Owner Occupier'!$D$41/12,'FHA Amotization'!$A67,360,'Owner Occupier'!$D$40,0,0)</f>
        <v>1206.6323392652971</v>
      </c>
      <c r="D67" s="4">
        <f t="shared" si="0"/>
        <v>1856.1630000265536</v>
      </c>
      <c r="E67" s="3">
        <f t="shared" si="1"/>
        <v>340046.65924944001</v>
      </c>
      <c r="F67" s="4">
        <f>('Owner Occupier'!$H$24-'Owner Occupier'!$D$52)/('Owner Occupier'!$D$56-'Owner Occupier'!$D$52)*B67</f>
        <v>312.57056819401276</v>
      </c>
      <c r="G67" s="4">
        <f t="shared" si="2"/>
        <v>17934.467374331165</v>
      </c>
    </row>
    <row r="68" spans="1:7" x14ac:dyDescent="0.25">
      <c r="A68">
        <v>65</v>
      </c>
      <c r="B68" s="4">
        <f>-PPMT('Owner Occupier'!$D$41/12,'FHA Amotization'!$A68,360,'Owner Occupier'!$D$40,0,0)</f>
        <v>651.8310818514525</v>
      </c>
      <c r="C68" s="4">
        <f>-IPMT('Owner Occupier'!$D$41/12,'FHA Amotization'!$A68,360,'Owner Occupier'!$D$40,0,0)</f>
        <v>1204.3319181751012</v>
      </c>
      <c r="D68" s="4">
        <f t="shared" si="0"/>
        <v>1856.1630000265536</v>
      </c>
      <c r="E68" s="3">
        <f t="shared" si="1"/>
        <v>339394.82816758857</v>
      </c>
      <c r="F68" s="4">
        <f>('Owner Occupier'!$H$24-'Owner Occupier'!$D$52)/('Owner Occupier'!$D$56-'Owner Occupier'!$D$52)*B68</f>
        <v>313.67758895636655</v>
      </c>
      <c r="G68" s="4">
        <f t="shared" si="2"/>
        <v>18248.14496328753</v>
      </c>
    </row>
    <row r="69" spans="1:7" x14ac:dyDescent="0.25">
      <c r="A69">
        <v>66</v>
      </c>
      <c r="B69" s="4">
        <f>-PPMT('Owner Occupier'!$D$41/12,'FHA Amotization'!$A69,360,'Owner Occupier'!$D$40,0,0)</f>
        <v>654.1396502663431</v>
      </c>
      <c r="C69" s="4">
        <f>-IPMT('Owner Occupier'!$D$41/12,'FHA Amotization'!$A69,360,'Owner Occupier'!$D$40,0,0)</f>
        <v>1202.0233497602105</v>
      </c>
      <c r="D69" s="4">
        <f t="shared" ref="D69:D132" si="3">B69+C69</f>
        <v>1856.1630000265536</v>
      </c>
      <c r="E69" s="3">
        <f t="shared" si="1"/>
        <v>338740.68851732224</v>
      </c>
      <c r="F69" s="4">
        <f>('Owner Occupier'!$H$24-'Owner Occupier'!$D$52)/('Owner Occupier'!$D$56-'Owner Occupier'!$D$52)*B69</f>
        <v>314.78853041725375</v>
      </c>
      <c r="G69" s="4">
        <f t="shared" si="2"/>
        <v>18562.933493704782</v>
      </c>
    </row>
    <row r="70" spans="1:7" x14ac:dyDescent="0.25">
      <c r="A70">
        <v>67</v>
      </c>
      <c r="B70" s="4">
        <f>-PPMT('Owner Occupier'!$D$41/12,'FHA Amotization'!$A70,360,'Owner Occupier'!$D$40,0,0)</f>
        <v>656.45639486103642</v>
      </c>
      <c r="C70" s="4">
        <f>-IPMT('Owner Occupier'!$D$41/12,'FHA Amotization'!$A70,360,'Owner Occupier'!$D$40,0,0)</f>
        <v>1199.7066051655172</v>
      </c>
      <c r="D70" s="4">
        <f t="shared" si="3"/>
        <v>1856.1630000265536</v>
      </c>
      <c r="E70" s="3">
        <f t="shared" ref="E70:E133" si="4">E69-B70</f>
        <v>338084.2321224612</v>
      </c>
      <c r="F70" s="4">
        <f>('Owner Occupier'!$H$24-'Owner Occupier'!$D$52)/('Owner Occupier'!$D$56-'Owner Occupier'!$D$52)*B70</f>
        <v>315.90340646248148</v>
      </c>
      <c r="G70" s="4">
        <f t="shared" ref="G70:G133" si="5">F70+G69</f>
        <v>18878.836900167265</v>
      </c>
    </row>
    <row r="71" spans="1:7" x14ac:dyDescent="0.25">
      <c r="A71">
        <v>68</v>
      </c>
      <c r="B71" s="4">
        <f>-PPMT('Owner Occupier'!$D$41/12,'FHA Amotization'!$A71,360,'Owner Occupier'!$D$40,0,0)</f>
        <v>658.78134459283592</v>
      </c>
      <c r="C71" s="4">
        <f>-IPMT('Owner Occupier'!$D$41/12,'FHA Amotization'!$A71,360,'Owner Occupier'!$D$40,0,0)</f>
        <v>1197.3816554337179</v>
      </c>
      <c r="D71" s="4">
        <f t="shared" si="3"/>
        <v>1856.1630000265538</v>
      </c>
      <c r="E71" s="3">
        <f t="shared" si="4"/>
        <v>337425.45077786833</v>
      </c>
      <c r="F71" s="4">
        <f>('Owner Occupier'!$H$24-'Owner Occupier'!$D$52)/('Owner Occupier'!$D$56-'Owner Occupier'!$D$52)*B71</f>
        <v>317.02223102703613</v>
      </c>
      <c r="G71" s="4">
        <f t="shared" si="5"/>
        <v>19195.859131194302</v>
      </c>
    </row>
    <row r="72" spans="1:7" x14ac:dyDescent="0.25">
      <c r="A72">
        <v>69</v>
      </c>
      <c r="B72" s="4">
        <f>-PPMT('Owner Occupier'!$D$41/12,'FHA Amotization'!$A72,360,'Owner Occupier'!$D$40,0,0)</f>
        <v>661.11452852160221</v>
      </c>
      <c r="C72" s="4">
        <f>-IPMT('Owner Occupier'!$D$41/12,'FHA Amotization'!$A72,360,'Owner Occupier'!$D$40,0,0)</f>
        <v>1195.0484715049515</v>
      </c>
      <c r="D72" s="4">
        <f t="shared" si="3"/>
        <v>1856.1630000265536</v>
      </c>
      <c r="E72" s="3">
        <f t="shared" si="4"/>
        <v>336764.33624934673</v>
      </c>
      <c r="F72" s="4">
        <f>('Owner Occupier'!$H$24-'Owner Occupier'!$D$52)/('Owner Occupier'!$D$56-'Owner Occupier'!$D$52)*B72</f>
        <v>318.14501809525689</v>
      </c>
      <c r="G72" s="4">
        <f t="shared" si="5"/>
        <v>19514.004149289558</v>
      </c>
    </row>
    <row r="73" spans="1:7" x14ac:dyDescent="0.25">
      <c r="A73">
        <v>70</v>
      </c>
      <c r="B73" s="4">
        <f>-PPMT('Owner Occupier'!$D$41/12,'FHA Amotization'!$A73,360,'Owner Occupier'!$D$40,0,0)</f>
        <v>663.45597581011623</v>
      </c>
      <c r="C73" s="4">
        <f>-IPMT('Owner Occupier'!$D$41/12,'FHA Amotization'!$A73,360,'Owner Occupier'!$D$40,0,0)</f>
        <v>1192.7070242164375</v>
      </c>
      <c r="D73" s="4">
        <f t="shared" si="3"/>
        <v>1856.1630000265536</v>
      </c>
      <c r="E73" s="3">
        <f t="shared" si="4"/>
        <v>336100.8802735366</v>
      </c>
      <c r="F73" s="4">
        <f>('Owner Occupier'!$H$24-'Owner Occupier'!$D$52)/('Owner Occupier'!$D$56-'Owner Occupier'!$D$52)*B73</f>
        <v>319.27178170101092</v>
      </c>
      <c r="G73" s="4">
        <f t="shared" si="5"/>
        <v>19833.27593099057</v>
      </c>
    </row>
    <row r="74" spans="1:7" x14ac:dyDescent="0.25">
      <c r="A74">
        <v>71</v>
      </c>
      <c r="B74" s="4">
        <f>-PPMT('Owner Occupier'!$D$41/12,'FHA Amotization'!$A74,360,'Owner Occupier'!$D$40,0,0)</f>
        <v>665.80571572444353</v>
      </c>
      <c r="C74" s="4">
        <f>-IPMT('Owner Occupier'!$D$41/12,'FHA Amotization'!$A74,360,'Owner Occupier'!$D$40,0,0)</f>
        <v>1190.3572843021102</v>
      </c>
      <c r="D74" s="4">
        <f t="shared" si="3"/>
        <v>1856.1630000265536</v>
      </c>
      <c r="E74" s="3">
        <f t="shared" si="4"/>
        <v>335435.07455781219</v>
      </c>
      <c r="F74" s="4">
        <f>('Owner Occupier'!$H$24-'Owner Occupier'!$D$52)/('Owner Occupier'!$D$56-'Owner Occupier'!$D$52)*B74</f>
        <v>320.4025359278686</v>
      </c>
      <c r="G74" s="4">
        <f t="shared" si="5"/>
        <v>20153.678466918438</v>
      </c>
    </row>
    <row r="75" spans="1:7" x14ac:dyDescent="0.25">
      <c r="A75">
        <v>72</v>
      </c>
      <c r="B75" s="4">
        <f>-PPMT('Owner Occupier'!$D$41/12,'FHA Amotization'!$A75,360,'Owner Occupier'!$D$40,0,0)</f>
        <v>668.16377763430114</v>
      </c>
      <c r="C75" s="4">
        <f>-IPMT('Owner Occupier'!$D$41/12,'FHA Amotization'!$A75,360,'Owner Occupier'!$D$40,0,0)</f>
        <v>1187.9992223922525</v>
      </c>
      <c r="D75" s="4">
        <f t="shared" si="3"/>
        <v>1856.1630000265536</v>
      </c>
      <c r="E75" s="3">
        <f t="shared" si="4"/>
        <v>334766.91078017786</v>
      </c>
      <c r="F75" s="4">
        <f>('Owner Occupier'!$H$24-'Owner Occupier'!$D$52)/('Owner Occupier'!$D$56-'Owner Occupier'!$D$52)*B75</f>
        <v>321.53729490927986</v>
      </c>
      <c r="G75" s="4">
        <f t="shared" si="5"/>
        <v>20475.21576182772</v>
      </c>
    </row>
    <row r="76" spans="1:7" x14ac:dyDescent="0.25">
      <c r="A76">
        <v>73</v>
      </c>
      <c r="B76" s="4">
        <f>-PPMT('Owner Occupier'!$D$41/12,'FHA Amotization'!$A76,360,'Owner Occupier'!$D$40,0,0)</f>
        <v>670.53019101342261</v>
      </c>
      <c r="C76" s="4">
        <f>-IPMT('Owner Occupier'!$D$41/12,'FHA Amotization'!$A76,360,'Owner Occupier'!$D$40,0,0)</f>
        <v>1185.632809013131</v>
      </c>
      <c r="D76" s="4">
        <f t="shared" si="3"/>
        <v>1856.1630000265536</v>
      </c>
      <c r="E76" s="3">
        <f t="shared" si="4"/>
        <v>334096.38058916444</v>
      </c>
      <c r="F76" s="4">
        <f>('Owner Occupier'!$H$24-'Owner Occupier'!$D$52)/('Owner Occupier'!$D$56-'Owner Occupier'!$D$52)*B76</f>
        <v>322.67607282875025</v>
      </c>
      <c r="G76" s="4">
        <f t="shared" si="5"/>
        <v>20797.891834656471</v>
      </c>
    </row>
    <row r="77" spans="1:7" x14ac:dyDescent="0.25">
      <c r="A77">
        <v>74</v>
      </c>
      <c r="B77" s="4">
        <f>-PPMT('Owner Occupier'!$D$41/12,'FHA Amotization'!$A77,360,'Owner Occupier'!$D$40,0,0)</f>
        <v>672.90498543992851</v>
      </c>
      <c r="C77" s="4">
        <f>-IPMT('Owner Occupier'!$D$41/12,'FHA Amotization'!$A77,360,'Owner Occupier'!$D$40,0,0)</f>
        <v>1183.2580145866252</v>
      </c>
      <c r="D77" s="4">
        <f t="shared" si="3"/>
        <v>1856.1630000265536</v>
      </c>
      <c r="E77" s="3">
        <f t="shared" si="4"/>
        <v>333423.47560372454</v>
      </c>
      <c r="F77" s="4">
        <f>('Owner Occupier'!$H$24-'Owner Occupier'!$D$52)/('Owner Occupier'!$D$56-'Owner Occupier'!$D$52)*B77</f>
        <v>323.81888392001872</v>
      </c>
      <c r="G77" s="4">
        <f t="shared" si="5"/>
        <v>21121.710718576491</v>
      </c>
    </row>
    <row r="78" spans="1:7" x14ac:dyDescent="0.25">
      <c r="A78">
        <v>75</v>
      </c>
      <c r="B78" s="4">
        <f>-PPMT('Owner Occupier'!$D$41/12,'FHA Amotization'!$A78,360,'Owner Occupier'!$D$40,0,0)</f>
        <v>675.28819059669479</v>
      </c>
      <c r="C78" s="4">
        <f>-IPMT('Owner Occupier'!$D$41/12,'FHA Amotization'!$A78,360,'Owner Occupier'!$D$40,0,0)</f>
        <v>1180.8748094298589</v>
      </c>
      <c r="D78" s="4">
        <f t="shared" si="3"/>
        <v>1856.1630000265536</v>
      </c>
      <c r="E78" s="3">
        <f t="shared" si="4"/>
        <v>332748.18741312786</v>
      </c>
      <c r="F78" s="4">
        <f>('Owner Occupier'!$H$24-'Owner Occupier'!$D$52)/('Owner Occupier'!$D$56-'Owner Occupier'!$D$52)*B78</f>
        <v>324.96574246723543</v>
      </c>
      <c r="G78" s="4">
        <f t="shared" si="5"/>
        <v>21446.676461043728</v>
      </c>
    </row>
    <row r="79" spans="1:7" x14ac:dyDescent="0.25">
      <c r="A79">
        <v>76</v>
      </c>
      <c r="B79" s="4">
        <f>-PPMT('Owner Occupier'!$D$41/12,'FHA Amotization'!$A79,360,'Owner Occupier'!$D$40,0,0)</f>
        <v>677.67983627172487</v>
      </c>
      <c r="C79" s="4">
        <f>-IPMT('Owner Occupier'!$D$41/12,'FHA Amotization'!$A79,360,'Owner Occupier'!$D$40,0,0)</f>
        <v>1178.4831637548286</v>
      </c>
      <c r="D79" s="4">
        <f t="shared" si="3"/>
        <v>1856.1630000265536</v>
      </c>
      <c r="E79" s="3">
        <f t="shared" si="4"/>
        <v>332070.50757685612</v>
      </c>
      <c r="F79" s="4">
        <f>('Owner Occupier'!$H$24-'Owner Occupier'!$D$52)/('Owner Occupier'!$D$56-'Owner Occupier'!$D$52)*B79</f>
        <v>326.11666280514027</v>
      </c>
      <c r="G79" s="4">
        <f t="shared" si="5"/>
        <v>21772.793123848867</v>
      </c>
    </row>
    <row r="80" spans="1:7" x14ac:dyDescent="0.25">
      <c r="A80">
        <v>77</v>
      </c>
      <c r="B80" s="4">
        <f>-PPMT('Owner Occupier'!$D$41/12,'FHA Amotization'!$A80,360,'Owner Occupier'!$D$40,0,0)</f>
        <v>680.07995235852047</v>
      </c>
      <c r="C80" s="4">
        <f>-IPMT('Owner Occupier'!$D$41/12,'FHA Amotization'!$A80,360,'Owner Occupier'!$D$40,0,0)</f>
        <v>1176.083047668033</v>
      </c>
      <c r="D80" s="4">
        <f t="shared" si="3"/>
        <v>1856.1630000265536</v>
      </c>
      <c r="E80" s="3">
        <f t="shared" si="4"/>
        <v>331390.42762449762</v>
      </c>
      <c r="F80" s="4">
        <f>('Owner Occupier'!$H$24-'Owner Occupier'!$D$52)/('Owner Occupier'!$D$56-'Owner Occupier'!$D$52)*B80</f>
        <v>327.27165931924173</v>
      </c>
      <c r="G80" s="4">
        <f t="shared" si="5"/>
        <v>22100.064783168109</v>
      </c>
    </row>
    <row r="81" spans="1:7" x14ac:dyDescent="0.25">
      <c r="A81">
        <v>78</v>
      </c>
      <c r="B81" s="4">
        <f>-PPMT('Owner Occupier'!$D$41/12,'FHA Amotization'!$A81,360,'Owner Occupier'!$D$40,0,0)</f>
        <v>682.48856885645694</v>
      </c>
      <c r="C81" s="4">
        <f>-IPMT('Owner Occupier'!$D$41/12,'FHA Amotization'!$A81,360,'Owner Occupier'!$D$40,0,0)</f>
        <v>1173.6744311700966</v>
      </c>
      <c r="D81" s="4">
        <f t="shared" si="3"/>
        <v>1856.1630000265536</v>
      </c>
      <c r="E81" s="3">
        <f t="shared" si="4"/>
        <v>330707.93905564118</v>
      </c>
      <c r="F81" s="4">
        <f>('Owner Occupier'!$H$24-'Owner Occupier'!$D$52)/('Owner Occupier'!$D$56-'Owner Occupier'!$D$52)*B81</f>
        <v>328.43074644599744</v>
      </c>
      <c r="G81" s="4">
        <f t="shared" si="5"/>
        <v>22428.495529614105</v>
      </c>
    </row>
    <row r="82" spans="1:7" x14ac:dyDescent="0.25">
      <c r="A82">
        <v>79</v>
      </c>
      <c r="B82" s="4">
        <f>-PPMT('Owner Occupier'!$D$41/12,'FHA Amotization'!$A82,360,'Owner Occupier'!$D$40,0,0)</f>
        <v>684.90571587115699</v>
      </c>
      <c r="C82" s="4">
        <f>-IPMT('Owner Occupier'!$D$41/12,'FHA Amotization'!$A82,360,'Owner Occupier'!$D$40,0,0)</f>
        <v>1171.2572841553967</v>
      </c>
      <c r="D82" s="4">
        <f t="shared" si="3"/>
        <v>1856.1630000265536</v>
      </c>
      <c r="E82" s="3">
        <f t="shared" si="4"/>
        <v>330023.03333977005</v>
      </c>
      <c r="F82" s="4">
        <f>('Owner Occupier'!$H$24-'Owner Occupier'!$D$52)/('Owner Occupier'!$D$56-'Owner Occupier'!$D$52)*B82</f>
        <v>329.59393867299372</v>
      </c>
      <c r="G82" s="4">
        <f t="shared" si="5"/>
        <v>22758.0894682871</v>
      </c>
    </row>
    <row r="83" spans="1:7" x14ac:dyDescent="0.25">
      <c r="A83">
        <v>80</v>
      </c>
      <c r="B83" s="4">
        <f>-PPMT('Owner Occupier'!$D$41/12,'FHA Amotization'!$A83,360,'Owner Occupier'!$D$40,0,0)</f>
        <v>687.33142361486728</v>
      </c>
      <c r="C83" s="4">
        <f>-IPMT('Owner Occupier'!$D$41/12,'FHA Amotization'!$A83,360,'Owner Occupier'!$D$40,0,0)</f>
        <v>1168.8315764116862</v>
      </c>
      <c r="D83" s="4">
        <f t="shared" si="3"/>
        <v>1856.1630000265536</v>
      </c>
      <c r="E83" s="3">
        <f t="shared" si="4"/>
        <v>329335.70191615517</v>
      </c>
      <c r="F83" s="4">
        <f>('Owner Occupier'!$H$24-'Owner Occupier'!$D$52)/('Owner Occupier'!$D$56-'Owner Occupier'!$D$52)*B83</f>
        <v>330.76125053912722</v>
      </c>
      <c r="G83" s="4">
        <f t="shared" si="5"/>
        <v>23088.850718826227</v>
      </c>
    </row>
    <row r="84" spans="1:7" x14ac:dyDescent="0.25">
      <c r="A84">
        <v>81</v>
      </c>
      <c r="B84" s="4">
        <f>-PPMT('Owner Occupier'!$D$41/12,'FHA Amotization'!$A84,360,'Owner Occupier'!$D$40,0,0)</f>
        <v>689.76572240683652</v>
      </c>
      <c r="C84" s="4">
        <f>-IPMT('Owner Occupier'!$D$41/12,'FHA Amotization'!$A84,360,'Owner Occupier'!$D$40,0,0)</f>
        <v>1166.397277619717</v>
      </c>
      <c r="D84" s="4">
        <f t="shared" si="3"/>
        <v>1856.1630000265536</v>
      </c>
      <c r="E84" s="3">
        <f t="shared" si="4"/>
        <v>328645.93619374832</v>
      </c>
      <c r="F84" s="4">
        <f>('Owner Occupier'!$H$24-'Owner Occupier'!$D$52)/('Owner Occupier'!$D$56-'Owner Occupier'!$D$52)*B84</f>
        <v>331.93269663478657</v>
      </c>
      <c r="G84" s="4">
        <f t="shared" si="5"/>
        <v>23420.783415461014</v>
      </c>
    </row>
    <row r="85" spans="1:7" x14ac:dyDescent="0.25">
      <c r="A85">
        <v>82</v>
      </c>
      <c r="B85" s="4">
        <f>-PPMT('Owner Occupier'!$D$41/12,'FHA Amotization'!$A85,360,'Owner Occupier'!$D$40,0,0)</f>
        <v>692.20864267369404</v>
      </c>
      <c r="C85" s="4">
        <f>-IPMT('Owner Occupier'!$D$41/12,'FHA Amotization'!$A85,360,'Owner Occupier'!$D$40,0,0)</f>
        <v>1163.9543573528595</v>
      </c>
      <c r="D85" s="4">
        <f t="shared" si="3"/>
        <v>1856.1630000265536</v>
      </c>
      <c r="E85" s="3">
        <f t="shared" si="4"/>
        <v>327953.72755107464</v>
      </c>
      <c r="F85" s="4">
        <f>('Owner Occupier'!$H$24-'Owner Occupier'!$D$52)/('Owner Occupier'!$D$56-'Owner Occupier'!$D$52)*B85</f>
        <v>333.10829160203474</v>
      </c>
      <c r="G85" s="4">
        <f t="shared" si="5"/>
        <v>23753.891707063049</v>
      </c>
    </row>
    <row r="86" spans="1:7" x14ac:dyDescent="0.25">
      <c r="A86">
        <v>83</v>
      </c>
      <c r="B86" s="4">
        <f>-PPMT('Owner Occupier'!$D$41/12,'FHA Amotization'!$A86,360,'Owner Occupier'!$D$40,0,0)</f>
        <v>694.66021494983011</v>
      </c>
      <c r="C86" s="4">
        <f>-IPMT('Owner Occupier'!$D$41/12,'FHA Amotization'!$A86,360,'Owner Occupier'!$D$40,0,0)</f>
        <v>1161.5027850767235</v>
      </c>
      <c r="D86" s="4">
        <f t="shared" si="3"/>
        <v>1856.1630000265536</v>
      </c>
      <c r="E86" s="3">
        <f t="shared" si="4"/>
        <v>327259.06733612483</v>
      </c>
      <c r="F86" s="4">
        <f>('Owner Occupier'!$H$24-'Owner Occupier'!$D$52)/('Owner Occupier'!$D$56-'Owner Occupier'!$D$52)*B86</f>
        <v>334.288050134792</v>
      </c>
      <c r="G86" s="4">
        <f t="shared" si="5"/>
        <v>24088.179757197842</v>
      </c>
    </row>
    <row r="87" spans="1:7" x14ac:dyDescent="0.25">
      <c r="A87">
        <v>84</v>
      </c>
      <c r="B87" s="4">
        <f>-PPMT('Owner Occupier'!$D$41/12,'FHA Amotization'!$A87,360,'Owner Occupier'!$D$40,0,0)</f>
        <v>697.1204698777774</v>
      </c>
      <c r="C87" s="4">
        <f>-IPMT('Owner Occupier'!$D$41/12,'FHA Amotization'!$A87,360,'Owner Occupier'!$D$40,0,0)</f>
        <v>1159.0425301487762</v>
      </c>
      <c r="D87" s="4">
        <f t="shared" si="3"/>
        <v>1856.1630000265536</v>
      </c>
      <c r="E87" s="3">
        <f t="shared" si="4"/>
        <v>326561.94686624705</v>
      </c>
      <c r="F87" s="4">
        <f>('Owner Occupier'!$H$24-'Owner Occupier'!$D$52)/('Owner Occupier'!$D$56-'Owner Occupier'!$D$52)*B87</f>
        <v>335.47198697901939</v>
      </c>
      <c r="G87" s="4">
        <f t="shared" si="5"/>
        <v>24423.651744176863</v>
      </c>
    </row>
    <row r="88" spans="1:7" x14ac:dyDescent="0.25">
      <c r="A88">
        <v>85</v>
      </c>
      <c r="B88" s="4">
        <f>-PPMT('Owner Occupier'!$D$41/12,'FHA Amotization'!$A88,360,'Owner Occupier'!$D$40,0,0)</f>
        <v>699.58943820859463</v>
      </c>
      <c r="C88" s="4">
        <f>-IPMT('Owner Occupier'!$D$41/12,'FHA Amotization'!$A88,360,'Owner Occupier'!$D$40,0,0)</f>
        <v>1156.5735618179592</v>
      </c>
      <c r="D88" s="4">
        <f t="shared" si="3"/>
        <v>1856.1630000265538</v>
      </c>
      <c r="E88" s="3">
        <f t="shared" si="4"/>
        <v>325862.35742803843</v>
      </c>
      <c r="F88" s="4">
        <f>('Owner Occupier'!$H$24-'Owner Occupier'!$D$52)/('Owner Occupier'!$D$56-'Owner Occupier'!$D$52)*B88</f>
        <v>336.66011693290346</v>
      </c>
      <c r="G88" s="4">
        <f t="shared" si="5"/>
        <v>24760.311861109767</v>
      </c>
    </row>
    <row r="89" spans="1:7" x14ac:dyDescent="0.25">
      <c r="A89">
        <v>86</v>
      </c>
      <c r="B89" s="4">
        <f>-PPMT('Owner Occupier'!$D$41/12,'FHA Amotization'!$A89,360,'Owner Occupier'!$D$40,0,0)</f>
        <v>702.06715080225013</v>
      </c>
      <c r="C89" s="4">
        <f>-IPMT('Owner Occupier'!$D$41/12,'FHA Amotization'!$A89,360,'Owner Occupier'!$D$40,0,0)</f>
        <v>1154.0958492243037</v>
      </c>
      <c r="D89" s="4">
        <f t="shared" si="3"/>
        <v>1856.1630000265538</v>
      </c>
      <c r="E89" s="3">
        <f t="shared" si="4"/>
        <v>325160.2902772362</v>
      </c>
      <c r="F89" s="4">
        <f>('Owner Occupier'!$H$24-'Owner Occupier'!$D$52)/('Owner Occupier'!$D$56-'Owner Occupier'!$D$52)*B89</f>
        <v>337.85245484704086</v>
      </c>
      <c r="G89" s="4">
        <f t="shared" si="5"/>
        <v>25098.164315956808</v>
      </c>
    </row>
    <row r="90" spans="1:7" x14ac:dyDescent="0.25">
      <c r="A90">
        <v>87</v>
      </c>
      <c r="B90" s="4">
        <f>-PPMT('Owner Occupier'!$D$41/12,'FHA Amotization'!$A90,360,'Owner Occupier'!$D$40,0,0)</f>
        <v>704.553638628008</v>
      </c>
      <c r="C90" s="4">
        <f>-IPMT('Owner Occupier'!$D$41/12,'FHA Amotization'!$A90,360,'Owner Occupier'!$D$40,0,0)</f>
        <v>1151.6093613985458</v>
      </c>
      <c r="D90" s="4">
        <f t="shared" si="3"/>
        <v>1856.1630000265538</v>
      </c>
      <c r="E90" s="3">
        <f t="shared" si="4"/>
        <v>324455.73663860821</v>
      </c>
      <c r="F90" s="4">
        <f>('Owner Occupier'!$H$24-'Owner Occupier'!$D$52)/('Owner Occupier'!$D$56-'Owner Occupier'!$D$52)*B90</f>
        <v>339.04901562462408</v>
      </c>
      <c r="G90" s="4">
        <f t="shared" si="5"/>
        <v>25437.213331581432</v>
      </c>
    </row>
    <row r="91" spans="1:7" x14ac:dyDescent="0.25">
      <c r="A91">
        <v>88</v>
      </c>
      <c r="B91" s="4">
        <f>-PPMT('Owner Occupier'!$D$41/12,'FHA Amotization'!$A91,360,'Owner Occupier'!$D$40,0,0)</f>
        <v>707.04893276481562</v>
      </c>
      <c r="C91" s="4">
        <f>-IPMT('Owner Occupier'!$D$41/12,'FHA Amotization'!$A91,360,'Owner Occupier'!$D$40,0,0)</f>
        <v>1149.1140672617382</v>
      </c>
      <c r="D91" s="4">
        <f t="shared" si="3"/>
        <v>1856.1630000265538</v>
      </c>
      <c r="E91" s="3">
        <f t="shared" si="4"/>
        <v>323748.68770584342</v>
      </c>
      <c r="F91" s="4">
        <f>('Owner Occupier'!$H$24-'Owner Occupier'!$D$52)/('Owner Occupier'!$D$56-'Owner Occupier'!$D$52)*B91</f>
        <v>340.24981422162801</v>
      </c>
      <c r="G91" s="4">
        <f t="shared" si="5"/>
        <v>25777.46314580306</v>
      </c>
    </row>
    <row r="92" spans="1:7" x14ac:dyDescent="0.25">
      <c r="A92">
        <v>89</v>
      </c>
      <c r="B92" s="4">
        <f>-PPMT('Owner Occupier'!$D$41/12,'FHA Amotization'!$A92,360,'Owner Occupier'!$D$40,0,0)</f>
        <v>709.5530644016909</v>
      </c>
      <c r="C92" s="4">
        <f>-IPMT('Owner Occupier'!$D$41/12,'FHA Amotization'!$A92,360,'Owner Occupier'!$D$40,0,0)</f>
        <v>1146.6099356248628</v>
      </c>
      <c r="D92" s="4">
        <f t="shared" si="3"/>
        <v>1856.1630000265536</v>
      </c>
      <c r="E92" s="3">
        <f t="shared" si="4"/>
        <v>323039.13464144175</v>
      </c>
      <c r="F92" s="4">
        <f>('Owner Occupier'!$H$24-'Owner Occupier'!$D$52)/('Owner Occupier'!$D$56-'Owner Occupier'!$D$52)*B92</f>
        <v>341.45486564699621</v>
      </c>
      <c r="G92" s="4">
        <f t="shared" si="5"/>
        <v>26118.918011450056</v>
      </c>
    </row>
    <row r="93" spans="1:7" x14ac:dyDescent="0.25">
      <c r="A93">
        <v>90</v>
      </c>
      <c r="B93" s="4">
        <f>-PPMT('Owner Occupier'!$D$41/12,'FHA Amotization'!$A93,360,'Owner Occupier'!$D$40,0,0)</f>
        <v>712.06606483811356</v>
      </c>
      <c r="C93" s="4">
        <f>-IPMT('Owner Occupier'!$D$41/12,'FHA Amotization'!$A93,360,'Owner Occupier'!$D$40,0,0)</f>
        <v>1144.0969351884403</v>
      </c>
      <c r="D93" s="4">
        <f t="shared" si="3"/>
        <v>1856.1630000265538</v>
      </c>
      <c r="E93" s="3">
        <f t="shared" si="4"/>
        <v>322327.06857660366</v>
      </c>
      <c r="F93" s="4">
        <f>('Owner Occupier'!$H$24-'Owner Occupier'!$D$52)/('Owner Occupier'!$D$56-'Owner Occupier'!$D$52)*B93</f>
        <v>342.66418496282932</v>
      </c>
      <c r="G93" s="4">
        <f t="shared" si="5"/>
        <v>26461.582196412885</v>
      </c>
    </row>
    <row r="94" spans="1:7" x14ac:dyDescent="0.25">
      <c r="A94">
        <v>91</v>
      </c>
      <c r="B94" s="4">
        <f>-PPMT('Owner Occupier'!$D$41/12,'FHA Amotization'!$A94,360,'Owner Occupier'!$D$40,0,0)</f>
        <v>714.58796548441512</v>
      </c>
      <c r="C94" s="4">
        <f>-IPMT('Owner Occupier'!$D$41/12,'FHA Amotization'!$A94,360,'Owner Occupier'!$D$40,0,0)</f>
        <v>1141.5750345421384</v>
      </c>
      <c r="D94" s="4">
        <f t="shared" si="3"/>
        <v>1856.1630000265536</v>
      </c>
      <c r="E94" s="3">
        <f t="shared" si="4"/>
        <v>321612.48061111924</v>
      </c>
      <c r="F94" s="4">
        <f>('Owner Occupier'!$H$24-'Owner Occupier'!$D$52)/('Owner Occupier'!$D$56-'Owner Occupier'!$D$52)*B94</f>
        <v>343.87778728457261</v>
      </c>
      <c r="G94" s="4">
        <f t="shared" si="5"/>
        <v>26805.459983697456</v>
      </c>
    </row>
    <row r="95" spans="1:7" x14ac:dyDescent="0.25">
      <c r="A95">
        <v>92</v>
      </c>
      <c r="B95" s="4">
        <f>-PPMT('Owner Occupier'!$D$41/12,'FHA Amotization'!$A95,360,'Owner Occupier'!$D$40,0,0)</f>
        <v>717.11879786217241</v>
      </c>
      <c r="C95" s="4">
        <f>-IPMT('Owner Occupier'!$D$41/12,'FHA Amotization'!$A95,360,'Owner Occupier'!$D$40,0,0)</f>
        <v>1139.0442021643812</v>
      </c>
      <c r="D95" s="4">
        <f t="shared" si="3"/>
        <v>1856.1630000265536</v>
      </c>
      <c r="E95" s="3">
        <f t="shared" si="4"/>
        <v>320895.3618132571</v>
      </c>
      <c r="F95" s="4">
        <f>('Owner Occupier'!$H$24-'Owner Occupier'!$D$52)/('Owner Occupier'!$D$56-'Owner Occupier'!$D$52)*B95</f>
        <v>345.09568778120547</v>
      </c>
      <c r="G95" s="4">
        <f t="shared" si="5"/>
        <v>27150.555671478662</v>
      </c>
    </row>
    <row r="96" spans="1:7" x14ac:dyDescent="0.25">
      <c r="A96">
        <v>93</v>
      </c>
      <c r="B96" s="4">
        <f>-PPMT('Owner Occupier'!$D$41/12,'FHA Amotization'!$A96,360,'Owner Occupier'!$D$40,0,0)</f>
        <v>719.65859360460104</v>
      </c>
      <c r="C96" s="4">
        <f>-IPMT('Owner Occupier'!$D$41/12,'FHA Amotization'!$A96,360,'Owner Occupier'!$D$40,0,0)</f>
        <v>1136.5044064219526</v>
      </c>
      <c r="D96" s="4">
        <f t="shared" si="3"/>
        <v>1856.1630000265536</v>
      </c>
      <c r="E96" s="3">
        <f t="shared" si="4"/>
        <v>320175.70321965253</v>
      </c>
      <c r="F96" s="4">
        <f>('Owner Occupier'!$H$24-'Owner Occupier'!$D$52)/('Owner Occupier'!$D$56-'Owner Occupier'!$D$52)*B96</f>
        <v>346.31790167543062</v>
      </c>
      <c r="G96" s="4">
        <f t="shared" si="5"/>
        <v>27496.873573154091</v>
      </c>
    </row>
    <row r="97" spans="1:7" x14ac:dyDescent="0.25">
      <c r="A97">
        <v>94</v>
      </c>
      <c r="B97" s="4">
        <f>-PPMT('Owner Occupier'!$D$41/12,'FHA Amotization'!$A97,360,'Owner Occupier'!$D$40,0,0)</f>
        <v>722.20738445695076</v>
      </c>
      <c r="C97" s="4">
        <f>-IPMT('Owner Occupier'!$D$41/12,'FHA Amotization'!$A97,360,'Owner Occupier'!$D$40,0,0)</f>
        <v>1133.9556155696032</v>
      </c>
      <c r="D97" s="4">
        <f t="shared" si="3"/>
        <v>1856.1630000265541</v>
      </c>
      <c r="E97" s="3">
        <f t="shared" si="4"/>
        <v>319453.49583519559</v>
      </c>
      <c r="F97" s="4">
        <f>('Owner Occupier'!$H$24-'Owner Occupier'!$D$52)/('Owner Occupier'!$D$56-'Owner Occupier'!$D$52)*B97</f>
        <v>347.54444424386452</v>
      </c>
      <c r="G97" s="4">
        <f t="shared" si="5"/>
        <v>27844.418017397955</v>
      </c>
    </row>
    <row r="98" spans="1:7" x14ac:dyDescent="0.25">
      <c r="A98">
        <v>95</v>
      </c>
      <c r="B98" s="4">
        <f>-PPMT('Owner Occupier'!$D$41/12,'FHA Amotization'!$A98,360,'Owner Occupier'!$D$40,0,0)</f>
        <v>724.76520227690241</v>
      </c>
      <c r="C98" s="4">
        <f>-IPMT('Owner Occupier'!$D$41/12,'FHA Amotization'!$A98,360,'Owner Occupier'!$D$40,0,0)</f>
        <v>1131.3977977496513</v>
      </c>
      <c r="D98" s="4">
        <f t="shared" si="3"/>
        <v>1856.1630000265536</v>
      </c>
      <c r="E98" s="3">
        <f t="shared" si="4"/>
        <v>318728.73063291871</v>
      </c>
      <c r="F98" s="4">
        <f>('Owner Occupier'!$H$24-'Owner Occupier'!$D$52)/('Owner Occupier'!$D$56-'Owner Occupier'!$D$52)*B98</f>
        <v>348.77533081722817</v>
      </c>
      <c r="G98" s="4">
        <f t="shared" si="5"/>
        <v>28193.193348215184</v>
      </c>
    </row>
    <row r="99" spans="1:7" x14ac:dyDescent="0.25">
      <c r="A99">
        <v>96</v>
      </c>
      <c r="B99" s="4">
        <f>-PPMT('Owner Occupier'!$D$41/12,'FHA Amotization'!$A99,360,'Owner Occupier'!$D$40,0,0)</f>
        <v>727.33207903496634</v>
      </c>
      <c r="C99" s="4">
        <f>-IPMT('Owner Occupier'!$D$41/12,'FHA Amotization'!$A99,360,'Owner Occupier'!$D$40,0,0)</f>
        <v>1128.8309209915869</v>
      </c>
      <c r="D99" s="4">
        <f t="shared" si="3"/>
        <v>1856.1630000265532</v>
      </c>
      <c r="E99" s="3">
        <f t="shared" si="4"/>
        <v>318001.39855388377</v>
      </c>
      <c r="F99" s="4">
        <f>('Owner Occupier'!$H$24-'Owner Occupier'!$D$52)/('Owner Occupier'!$D$56-'Owner Occupier'!$D$52)*B99</f>
        <v>350.01057678053911</v>
      </c>
      <c r="G99" s="4">
        <f t="shared" si="5"/>
        <v>28543.203924995723</v>
      </c>
    </row>
    <row r="100" spans="1:7" x14ac:dyDescent="0.25">
      <c r="A100">
        <v>97</v>
      </c>
      <c r="B100" s="4">
        <f>-PPMT('Owner Occupier'!$D$41/12,'FHA Amotization'!$A100,360,'Owner Occupier'!$D$40,0,0)</f>
        <v>729.90804681488191</v>
      </c>
      <c r="C100" s="4">
        <f>-IPMT('Owner Occupier'!$D$41/12,'FHA Amotization'!$A100,360,'Owner Occupier'!$D$40,0,0)</f>
        <v>1126.2549532116718</v>
      </c>
      <c r="D100" s="4">
        <f t="shared" si="3"/>
        <v>1856.1630000265536</v>
      </c>
      <c r="E100" s="3">
        <f t="shared" si="4"/>
        <v>317271.49050706887</v>
      </c>
      <c r="F100" s="4">
        <f>('Owner Occupier'!$H$24-'Owner Occupier'!$D$52)/('Owner Occupier'!$D$56-'Owner Occupier'!$D$52)*B100</f>
        <v>351.25019757330358</v>
      </c>
      <c r="G100" s="4">
        <f t="shared" si="5"/>
        <v>28894.454122569026</v>
      </c>
    </row>
    <row r="101" spans="1:7" x14ac:dyDescent="0.25">
      <c r="A101">
        <v>98</v>
      </c>
      <c r="B101" s="4">
        <f>-PPMT('Owner Occupier'!$D$41/12,'FHA Amotization'!$A101,360,'Owner Occupier'!$D$40,0,0)</f>
        <v>732.49313781401793</v>
      </c>
      <c r="C101" s="4">
        <f>-IPMT('Owner Occupier'!$D$41/12,'FHA Amotization'!$A101,360,'Owner Occupier'!$D$40,0,0)</f>
        <v>1123.6698622125357</v>
      </c>
      <c r="D101" s="4">
        <f t="shared" si="3"/>
        <v>1856.1630000265536</v>
      </c>
      <c r="E101" s="3">
        <f t="shared" si="4"/>
        <v>316538.99736925482</v>
      </c>
      <c r="F101" s="4">
        <f>('Owner Occupier'!$H$24-'Owner Occupier'!$D$52)/('Owner Occupier'!$D$56-'Owner Occupier'!$D$52)*B101</f>
        <v>352.49420868970901</v>
      </c>
      <c r="G101" s="4">
        <f t="shared" si="5"/>
        <v>29246.948331258736</v>
      </c>
    </row>
    <row r="102" spans="1:7" x14ac:dyDescent="0.25">
      <c r="A102">
        <v>99</v>
      </c>
      <c r="B102" s="4">
        <f>-PPMT('Owner Occupier'!$D$41/12,'FHA Amotization'!$A102,360,'Owner Occupier'!$D$40,0,0)</f>
        <v>735.08738434377597</v>
      </c>
      <c r="C102" s="4">
        <f>-IPMT('Owner Occupier'!$D$41/12,'FHA Amotization'!$A102,360,'Owner Occupier'!$D$40,0,0)</f>
        <v>1121.0756156827779</v>
      </c>
      <c r="D102" s="4">
        <f t="shared" si="3"/>
        <v>1856.1630000265538</v>
      </c>
      <c r="E102" s="3">
        <f t="shared" si="4"/>
        <v>315803.90998491104</v>
      </c>
      <c r="F102" s="4">
        <f>('Owner Occupier'!$H$24-'Owner Occupier'!$D$52)/('Owner Occupier'!$D$56-'Owner Occupier'!$D$52)*B102</f>
        <v>353.7426256788184</v>
      </c>
      <c r="G102" s="4">
        <f t="shared" si="5"/>
        <v>29600.690956937553</v>
      </c>
    </row>
    <row r="103" spans="1:7" x14ac:dyDescent="0.25">
      <c r="A103">
        <v>100</v>
      </c>
      <c r="B103" s="4">
        <f>-PPMT('Owner Occupier'!$D$41/12,'FHA Amotization'!$A103,360,'Owner Occupier'!$D$40,0,0)</f>
        <v>737.69081882999353</v>
      </c>
      <c r="C103" s="4">
        <f>-IPMT('Owner Occupier'!$D$41/12,'FHA Amotization'!$A103,360,'Owner Occupier'!$D$40,0,0)</f>
        <v>1118.4721811965603</v>
      </c>
      <c r="D103" s="4">
        <f t="shared" si="3"/>
        <v>1856.1630000265538</v>
      </c>
      <c r="E103" s="3">
        <f t="shared" si="4"/>
        <v>315066.21916608105</v>
      </c>
      <c r="F103" s="4">
        <f>('Owner Occupier'!$H$24-'Owner Occupier'!$D$52)/('Owner Occupier'!$D$56-'Owner Occupier'!$D$52)*B103</f>
        <v>354.99546414476424</v>
      </c>
      <c r="G103" s="4">
        <f t="shared" si="5"/>
        <v>29955.686421082319</v>
      </c>
    </row>
    <row r="104" spans="1:7" x14ac:dyDescent="0.25">
      <c r="A104">
        <v>101</v>
      </c>
      <c r="B104" s="4">
        <f>-PPMT('Owner Occupier'!$D$41/12,'FHA Amotization'!$A104,360,'Owner Occupier'!$D$40,0,0)</f>
        <v>740.30347381334968</v>
      </c>
      <c r="C104" s="4">
        <f>-IPMT('Owner Occupier'!$D$41/12,'FHA Amotization'!$A104,360,'Owner Occupier'!$D$40,0,0)</f>
        <v>1115.8595262132039</v>
      </c>
      <c r="D104" s="4">
        <f t="shared" si="3"/>
        <v>1856.1630000265536</v>
      </c>
      <c r="E104" s="3">
        <f t="shared" si="4"/>
        <v>314325.91569226771</v>
      </c>
      <c r="F104" s="4">
        <f>('Owner Occupier'!$H$24-'Owner Occupier'!$D$52)/('Owner Occupier'!$D$56-'Owner Occupier'!$D$52)*B104</f>
        <v>356.25273974694358</v>
      </c>
      <c r="G104" s="4">
        <f t="shared" si="5"/>
        <v>30311.939160829261</v>
      </c>
    </row>
    <row r="105" spans="1:7" x14ac:dyDescent="0.25">
      <c r="A105">
        <v>102</v>
      </c>
      <c r="B105" s="4">
        <f>-PPMT('Owner Occupier'!$D$41/12,'FHA Amotization'!$A105,360,'Owner Occupier'!$D$40,0,0)</f>
        <v>742.92538194977192</v>
      </c>
      <c r="C105" s="4">
        <f>-IPMT('Owner Occupier'!$D$41/12,'FHA Amotization'!$A105,360,'Owner Occupier'!$D$40,0,0)</f>
        <v>1113.2376180767819</v>
      </c>
      <c r="D105" s="4">
        <f t="shared" si="3"/>
        <v>1856.1630000265538</v>
      </c>
      <c r="E105" s="3">
        <f t="shared" si="4"/>
        <v>313582.99031031795</v>
      </c>
      <c r="F105" s="4">
        <f>('Owner Occupier'!$H$24-'Owner Occupier'!$D$52)/('Owner Occupier'!$D$56-'Owner Occupier'!$D$52)*B105</f>
        <v>357.51446820021397</v>
      </c>
      <c r="G105" s="4">
        <f t="shared" si="5"/>
        <v>30669.453629029475</v>
      </c>
    </row>
    <row r="106" spans="1:7" x14ac:dyDescent="0.25">
      <c r="A106">
        <v>103</v>
      </c>
      <c r="B106" s="4">
        <f>-PPMT('Owner Occupier'!$D$41/12,'FHA Amotization'!$A106,360,'Owner Occupier'!$D$40,0,0)</f>
        <v>745.55657601084408</v>
      </c>
      <c r="C106" s="4">
        <f>-IPMT('Owner Occupier'!$D$41/12,'FHA Amotization'!$A106,360,'Owner Occupier'!$D$40,0,0)</f>
        <v>1110.6064240157098</v>
      </c>
      <c r="D106" s="4">
        <f t="shared" si="3"/>
        <v>1856.1630000265538</v>
      </c>
      <c r="E106" s="3">
        <f t="shared" si="4"/>
        <v>312837.43373430712</v>
      </c>
      <c r="F106" s="4">
        <f>('Owner Occupier'!$H$24-'Owner Occupier'!$D$52)/('Owner Occupier'!$D$56-'Owner Occupier'!$D$52)*B106</f>
        <v>358.78066527508975</v>
      </c>
      <c r="G106" s="4">
        <f t="shared" si="5"/>
        <v>31028.234294304566</v>
      </c>
    </row>
    <row r="107" spans="1:7" x14ac:dyDescent="0.25">
      <c r="A107">
        <v>104</v>
      </c>
      <c r="B107" s="4">
        <f>-PPMT('Owner Occupier'!$D$41/12,'FHA Amotization'!$A107,360,'Owner Occupier'!$D$40,0,0)</f>
        <v>748.19708888421587</v>
      </c>
      <c r="C107" s="4">
        <f>-IPMT('Owner Occupier'!$D$41/12,'FHA Amotization'!$A107,360,'Owner Occupier'!$D$40,0,0)</f>
        <v>1107.9659111423377</v>
      </c>
      <c r="D107" s="4">
        <f t="shared" si="3"/>
        <v>1856.1630000265536</v>
      </c>
      <c r="E107" s="3">
        <f t="shared" si="4"/>
        <v>312089.23664542293</v>
      </c>
      <c r="F107" s="4">
        <f>('Owner Occupier'!$H$24-'Owner Occupier'!$D$52)/('Owner Occupier'!$D$56-'Owner Occupier'!$D$52)*B107</f>
        <v>360.05134679793906</v>
      </c>
      <c r="G107" s="4">
        <f t="shared" si="5"/>
        <v>31388.285641102506</v>
      </c>
    </row>
    <row r="108" spans="1:7" x14ac:dyDescent="0.25">
      <c r="A108">
        <v>105</v>
      </c>
      <c r="B108" s="4">
        <f>-PPMT('Owner Occupier'!$D$41/12,'FHA Amotization'!$A108,360,'Owner Occupier'!$D$40,0,0)</f>
        <v>750.84695357401404</v>
      </c>
      <c r="C108" s="4">
        <f>-IPMT('Owner Occupier'!$D$41/12,'FHA Amotization'!$A108,360,'Owner Occupier'!$D$40,0,0)</f>
        <v>1105.3160464525399</v>
      </c>
      <c r="D108" s="4">
        <f t="shared" si="3"/>
        <v>1856.1630000265541</v>
      </c>
      <c r="E108" s="3">
        <f t="shared" si="4"/>
        <v>311338.38969184895</v>
      </c>
      <c r="F108" s="4">
        <f>('Owner Occupier'!$H$24-'Owner Occupier'!$D$52)/('Owner Occupier'!$D$56-'Owner Occupier'!$D$52)*B108</f>
        <v>361.32652865118172</v>
      </c>
      <c r="G108" s="4">
        <f t="shared" si="5"/>
        <v>31749.612169753687</v>
      </c>
    </row>
    <row r="109" spans="1:7" x14ac:dyDescent="0.25">
      <c r="A109">
        <v>106</v>
      </c>
      <c r="B109" s="4">
        <f>-PPMT('Owner Occupier'!$D$41/12,'FHA Amotization'!$A109,360,'Owner Occupier'!$D$40,0,0)</f>
        <v>753.5062032012554</v>
      </c>
      <c r="C109" s="4">
        <f>-IPMT('Owner Occupier'!$D$41/12,'FHA Amotization'!$A109,360,'Owner Occupier'!$D$40,0,0)</f>
        <v>1102.6567968252982</v>
      </c>
      <c r="D109" s="4">
        <f t="shared" si="3"/>
        <v>1856.1630000265536</v>
      </c>
      <c r="E109" s="3">
        <f t="shared" si="4"/>
        <v>310584.8834886477</v>
      </c>
      <c r="F109" s="4">
        <f>('Owner Occupier'!$H$24-'Owner Occupier'!$D$52)/('Owner Occupier'!$D$56-'Owner Occupier'!$D$52)*B109</f>
        <v>362.606226773488</v>
      </c>
      <c r="G109" s="4">
        <f t="shared" si="5"/>
        <v>32112.218396527176</v>
      </c>
    </row>
    <row r="110" spans="1:7" x14ac:dyDescent="0.25">
      <c r="A110">
        <v>107</v>
      </c>
      <c r="B110" s="4">
        <f>-PPMT('Owner Occupier'!$D$41/12,'FHA Amotization'!$A110,360,'Owner Occupier'!$D$40,0,0)</f>
        <v>756.17487100425978</v>
      </c>
      <c r="C110" s="4">
        <f>-IPMT('Owner Occupier'!$D$41/12,'FHA Amotization'!$A110,360,'Owner Occupier'!$D$40,0,0)</f>
        <v>1099.9881290222938</v>
      </c>
      <c r="D110" s="4">
        <f t="shared" si="3"/>
        <v>1856.1630000265536</v>
      </c>
      <c r="E110" s="3">
        <f t="shared" si="4"/>
        <v>309828.70861764345</v>
      </c>
      <c r="F110" s="4">
        <f>('Owner Occupier'!$H$24-'Owner Occupier'!$D$52)/('Owner Occupier'!$D$56-'Owner Occupier'!$D$52)*B110</f>
        <v>363.89045715997742</v>
      </c>
      <c r="G110" s="4">
        <f t="shared" si="5"/>
        <v>32476.108853687154</v>
      </c>
    </row>
    <row r="111" spans="1:7" x14ac:dyDescent="0.25">
      <c r="A111">
        <v>108</v>
      </c>
      <c r="B111" s="4">
        <f>-PPMT('Owner Occupier'!$D$41/12,'FHA Amotization'!$A111,360,'Owner Occupier'!$D$40,0,0)</f>
        <v>758.85299033906654</v>
      </c>
      <c r="C111" s="4">
        <f>-IPMT('Owner Occupier'!$D$41/12,'FHA Amotization'!$A111,360,'Owner Occupier'!$D$40,0,0)</f>
        <v>1097.3100096874871</v>
      </c>
      <c r="D111" s="4">
        <f t="shared" si="3"/>
        <v>1856.1630000265536</v>
      </c>
      <c r="E111" s="3">
        <f t="shared" si="4"/>
        <v>309069.85562730441</v>
      </c>
      <c r="F111" s="4">
        <f>('Owner Occupier'!$H$24-'Owner Occupier'!$D$52)/('Owner Occupier'!$D$56-'Owner Occupier'!$D$52)*B111</f>
        <v>365.17923586241903</v>
      </c>
      <c r="G111" s="4">
        <f t="shared" si="5"/>
        <v>32841.288089549576</v>
      </c>
    </row>
    <row r="112" spans="1:7" x14ac:dyDescent="0.25">
      <c r="A112">
        <v>109</v>
      </c>
      <c r="B112" s="4">
        <f>-PPMT('Owner Occupier'!$D$41/12,'FHA Amotization'!$A112,360,'Owner Occupier'!$D$40,0,0)</f>
        <v>761.54059467985087</v>
      </c>
      <c r="C112" s="4">
        <f>-IPMT('Owner Occupier'!$D$41/12,'FHA Amotization'!$A112,360,'Owner Occupier'!$D$40,0,0)</f>
        <v>1094.6224053467029</v>
      </c>
      <c r="D112" s="4">
        <f t="shared" si="3"/>
        <v>1856.1630000265536</v>
      </c>
      <c r="E112" s="3">
        <f t="shared" si="4"/>
        <v>308308.31503262458</v>
      </c>
      <c r="F112" s="4">
        <f>('Owner Occupier'!$H$24-'Owner Occupier'!$D$52)/('Owner Occupier'!$D$56-'Owner Occupier'!$D$52)*B112</f>
        <v>366.47257898943184</v>
      </c>
      <c r="G112" s="4">
        <f t="shared" si="5"/>
        <v>33207.760668539006</v>
      </c>
    </row>
    <row r="113" spans="1:7" x14ac:dyDescent="0.25">
      <c r="A113">
        <v>110</v>
      </c>
      <c r="B113" s="4">
        <f>-PPMT('Owner Occupier'!$D$41/12,'FHA Amotization'!$A113,360,'Owner Occupier'!$D$40,0,0)</f>
        <v>764.23771761934188</v>
      </c>
      <c r="C113" s="4">
        <f>-IPMT('Owner Occupier'!$D$41/12,'FHA Amotization'!$A113,360,'Owner Occupier'!$D$40,0,0)</f>
        <v>1091.9252824072116</v>
      </c>
      <c r="D113" s="4">
        <f t="shared" si="3"/>
        <v>1856.1630000265536</v>
      </c>
      <c r="E113" s="3">
        <f t="shared" si="4"/>
        <v>307544.07731500524</v>
      </c>
      <c r="F113" s="4">
        <f>('Owner Occupier'!$H$24-'Owner Occupier'!$D$52)/('Owner Occupier'!$D$56-'Owner Occupier'!$D$52)*B113</f>
        <v>367.77050270668599</v>
      </c>
      <c r="G113" s="4">
        <f t="shared" si="5"/>
        <v>33575.53117124569</v>
      </c>
    </row>
    <row r="114" spans="1:7" x14ac:dyDescent="0.25">
      <c r="A114">
        <v>111</v>
      </c>
      <c r="B114" s="4">
        <f>-PPMT('Owner Occupier'!$D$41/12,'FHA Amotization'!$A114,360,'Owner Occupier'!$D$40,0,0)</f>
        <v>766.94439286924364</v>
      </c>
      <c r="C114" s="4">
        <f>-IPMT('Owner Occupier'!$D$41/12,'FHA Amotization'!$A114,360,'Owner Occupier'!$D$40,0,0)</f>
        <v>1089.2186071573101</v>
      </c>
      <c r="D114" s="4">
        <f t="shared" si="3"/>
        <v>1856.1630000265536</v>
      </c>
      <c r="E114" s="3">
        <f t="shared" si="4"/>
        <v>306777.13292213599</v>
      </c>
      <c r="F114" s="4">
        <f>('Owner Occupier'!$H$24-'Owner Occupier'!$D$52)/('Owner Occupier'!$D$56-'Owner Occupier'!$D$52)*B114</f>
        <v>369.07302323710547</v>
      </c>
      <c r="G114" s="4">
        <f t="shared" si="5"/>
        <v>33944.604194482796</v>
      </c>
    </row>
    <row r="115" spans="1:7" x14ac:dyDescent="0.25">
      <c r="A115">
        <v>112</v>
      </c>
      <c r="B115" s="4">
        <f>-PPMT('Owner Occupier'!$D$41/12,'FHA Amotization'!$A115,360,'Owner Occupier'!$D$40,0,0)</f>
        <v>769.66065426065563</v>
      </c>
      <c r="C115" s="4">
        <f>-IPMT('Owner Occupier'!$D$41/12,'FHA Amotization'!$A115,360,'Owner Occupier'!$D$40,0,0)</f>
        <v>1086.5023457658979</v>
      </c>
      <c r="D115" s="4">
        <f t="shared" si="3"/>
        <v>1856.1630000265536</v>
      </c>
      <c r="E115" s="3">
        <f t="shared" si="4"/>
        <v>306007.47226787533</v>
      </c>
      <c r="F115" s="4">
        <f>('Owner Occupier'!$H$24-'Owner Occupier'!$D$52)/('Owner Occupier'!$D$56-'Owner Occupier'!$D$52)*B115</f>
        <v>370.38015686107025</v>
      </c>
      <c r="G115" s="4">
        <f t="shared" si="5"/>
        <v>34314.984351343868</v>
      </c>
    </row>
    <row r="116" spans="1:7" x14ac:dyDescent="0.25">
      <c r="A116">
        <v>113</v>
      </c>
      <c r="B116" s="4">
        <f>-PPMT('Owner Occupier'!$D$41/12,'FHA Amotization'!$A116,360,'Owner Occupier'!$D$40,0,0)</f>
        <v>772.38653574449552</v>
      </c>
      <c r="C116" s="4">
        <f>-IPMT('Owner Occupier'!$D$41/12,'FHA Amotization'!$A116,360,'Owner Occupier'!$D$40,0,0)</f>
        <v>1083.776464282058</v>
      </c>
      <c r="D116" s="4">
        <f t="shared" si="3"/>
        <v>1856.1630000265536</v>
      </c>
      <c r="E116" s="3">
        <f t="shared" si="4"/>
        <v>305235.08573213086</v>
      </c>
      <c r="F116" s="4">
        <f>('Owner Occupier'!$H$24-'Owner Occupier'!$D$52)/('Owner Occupier'!$D$56-'Owner Occupier'!$D$52)*B116</f>
        <v>371.6919199166199</v>
      </c>
      <c r="G116" s="4">
        <f t="shared" si="5"/>
        <v>34686.67627126049</v>
      </c>
    </row>
    <row r="117" spans="1:7" x14ac:dyDescent="0.25">
      <c r="A117">
        <v>114</v>
      </c>
      <c r="B117" s="4">
        <f>-PPMT('Owner Occupier'!$D$41/12,'FHA Amotization'!$A117,360,'Owner Occupier'!$D$40,0,0)</f>
        <v>775.1220713919239</v>
      </c>
      <c r="C117" s="4">
        <f>-IPMT('Owner Occupier'!$D$41/12,'FHA Amotization'!$A117,360,'Owner Occupier'!$D$40,0,0)</f>
        <v>1081.0409286346298</v>
      </c>
      <c r="D117" s="4">
        <f t="shared" si="3"/>
        <v>1856.1630000265536</v>
      </c>
      <c r="E117" s="3">
        <f t="shared" si="4"/>
        <v>304459.96366073895</v>
      </c>
      <c r="F117" s="4">
        <f>('Owner Occupier'!$H$24-'Owner Occupier'!$D$52)/('Owner Occupier'!$D$56-'Owner Occupier'!$D$52)*B117</f>
        <v>373.00832879965793</v>
      </c>
      <c r="G117" s="4">
        <f t="shared" si="5"/>
        <v>35059.684600060151</v>
      </c>
    </row>
    <row r="118" spans="1:7" x14ac:dyDescent="0.25">
      <c r="A118">
        <v>115</v>
      </c>
      <c r="B118" s="4">
        <f>-PPMT('Owner Occupier'!$D$41/12,'FHA Amotization'!$A118,360,'Owner Occupier'!$D$40,0,0)</f>
        <v>777.86729539477028</v>
      </c>
      <c r="C118" s="4">
        <f>-IPMT('Owner Occupier'!$D$41/12,'FHA Amotization'!$A118,360,'Owner Occupier'!$D$40,0,0)</f>
        <v>1078.2957046317836</v>
      </c>
      <c r="D118" s="4">
        <f t="shared" si="3"/>
        <v>1856.1630000265538</v>
      </c>
      <c r="E118" s="3">
        <f t="shared" si="4"/>
        <v>303682.09636534419</v>
      </c>
      <c r="F118" s="4">
        <f>('Owner Occupier'!$H$24-'Owner Occupier'!$D$52)/('Owner Occupier'!$D$56-'Owner Occupier'!$D$52)*B118</f>
        <v>374.32939996415672</v>
      </c>
      <c r="G118" s="4">
        <f t="shared" si="5"/>
        <v>35434.014000024305</v>
      </c>
    </row>
    <row r="119" spans="1:7" x14ac:dyDescent="0.25">
      <c r="A119">
        <v>116</v>
      </c>
      <c r="B119" s="4">
        <f>-PPMT('Owner Occupier'!$D$41/12,'FHA Amotization'!$A119,360,'Owner Occupier'!$D$40,0,0)</f>
        <v>780.62224206596011</v>
      </c>
      <c r="C119" s="4">
        <f>-IPMT('Owner Occupier'!$D$41/12,'FHA Amotization'!$A119,360,'Owner Occupier'!$D$40,0,0)</f>
        <v>1075.5407579605937</v>
      </c>
      <c r="D119" s="4">
        <f t="shared" si="3"/>
        <v>1856.1630000265538</v>
      </c>
      <c r="E119" s="3">
        <f t="shared" si="4"/>
        <v>302901.47412327823</v>
      </c>
      <c r="F119" s="4">
        <f>('Owner Occupier'!$H$24-'Owner Occupier'!$D$52)/('Owner Occupier'!$D$56-'Owner Occupier'!$D$52)*B119</f>
        <v>375.65514992236308</v>
      </c>
      <c r="G119" s="4">
        <f t="shared" si="5"/>
        <v>35809.669149946669</v>
      </c>
    </row>
    <row r="120" spans="1:7" x14ac:dyDescent="0.25">
      <c r="A120">
        <v>117</v>
      </c>
      <c r="B120" s="4">
        <f>-PPMT('Owner Occupier'!$D$41/12,'FHA Amotization'!$A120,360,'Owner Occupier'!$D$40,0,0)</f>
        <v>783.38694583994368</v>
      </c>
      <c r="C120" s="4">
        <f>-IPMT('Owner Occupier'!$D$41/12,'FHA Amotization'!$A120,360,'Owner Occupier'!$D$40,0,0)</f>
        <v>1072.7760541866101</v>
      </c>
      <c r="D120" s="4">
        <f t="shared" si="3"/>
        <v>1856.1630000265536</v>
      </c>
      <c r="E120" s="3">
        <f t="shared" si="4"/>
        <v>302118.08717743825</v>
      </c>
      <c r="F120" s="4">
        <f>('Owner Occupier'!$H$24-'Owner Occupier'!$D$52)/('Owner Occupier'!$D$56-'Owner Occupier'!$D$52)*B120</f>
        <v>376.98559524500479</v>
      </c>
      <c r="G120" s="4">
        <f t="shared" si="5"/>
        <v>36186.65474519167</v>
      </c>
    </row>
    <row r="121" spans="1:7" x14ac:dyDescent="0.25">
      <c r="A121">
        <v>118</v>
      </c>
      <c r="B121" s="4">
        <f>-PPMT('Owner Occupier'!$D$41/12,'FHA Amotization'!$A121,360,'Owner Occupier'!$D$40,0,0)</f>
        <v>786.16144127312691</v>
      </c>
      <c r="C121" s="4">
        <f>-IPMT('Owner Occupier'!$D$41/12,'FHA Amotization'!$A121,360,'Owner Occupier'!$D$40,0,0)</f>
        <v>1070.0015587534269</v>
      </c>
      <c r="D121" s="4">
        <f t="shared" si="3"/>
        <v>1856.1630000265538</v>
      </c>
      <c r="E121" s="3">
        <f t="shared" si="4"/>
        <v>301331.92573616514</v>
      </c>
      <c r="F121" s="4">
        <f>('Owner Occupier'!$H$24-'Owner Occupier'!$D$52)/('Owner Occupier'!$D$56-'Owner Occupier'!$D$52)*B121</f>
        <v>378.32075256149756</v>
      </c>
      <c r="G121" s="4">
        <f t="shared" si="5"/>
        <v>36564.97549775317</v>
      </c>
    </row>
    <row r="122" spans="1:7" x14ac:dyDescent="0.25">
      <c r="A122">
        <v>119</v>
      </c>
      <c r="B122" s="4">
        <f>-PPMT('Owner Occupier'!$D$41/12,'FHA Amotization'!$A122,360,'Owner Occupier'!$D$40,0,0)</f>
        <v>788.94576304430245</v>
      </c>
      <c r="C122" s="4">
        <f>-IPMT('Owner Occupier'!$D$41/12,'FHA Amotization'!$A122,360,'Owner Occupier'!$D$40,0,0)</f>
        <v>1067.2172369822513</v>
      </c>
      <c r="D122" s="4">
        <f t="shared" si="3"/>
        <v>1856.1630000265536</v>
      </c>
      <c r="E122" s="3">
        <f t="shared" si="4"/>
        <v>300542.97997312085</v>
      </c>
      <c r="F122" s="4">
        <f>('Owner Occupier'!$H$24-'Owner Occupier'!$D$52)/('Owner Occupier'!$D$56-'Owner Occupier'!$D$52)*B122</f>
        <v>379.66063856015279</v>
      </c>
      <c r="G122" s="4">
        <f t="shared" si="5"/>
        <v>36944.636136313326</v>
      </c>
    </row>
    <row r="123" spans="1:7" x14ac:dyDescent="0.25">
      <c r="A123">
        <v>120</v>
      </c>
      <c r="B123" s="4">
        <f>-PPMT('Owner Occupier'!$D$41/12,'FHA Amotization'!$A123,360,'Owner Occupier'!$D$40,0,0)</f>
        <v>791.73994595508441</v>
      </c>
      <c r="C123" s="4">
        <f>-IPMT('Owner Occupier'!$D$41/12,'FHA Amotization'!$A123,360,'Owner Occupier'!$D$40,0,0)</f>
        <v>1064.4230540714691</v>
      </c>
      <c r="D123" s="4">
        <f t="shared" si="3"/>
        <v>1856.1630000265536</v>
      </c>
      <c r="E123" s="3">
        <f t="shared" si="4"/>
        <v>299751.24002716574</v>
      </c>
      <c r="F123" s="4">
        <f>('Owner Occupier'!$H$24-'Owner Occupier'!$D$52)/('Owner Occupier'!$D$56-'Owner Occupier'!$D$52)*B123</f>
        <v>381.00526998838671</v>
      </c>
      <c r="G123" s="4">
        <f t="shared" si="5"/>
        <v>37325.641406301715</v>
      </c>
    </row>
    <row r="124" spans="1:7" x14ac:dyDescent="0.25">
      <c r="A124">
        <v>121</v>
      </c>
      <c r="B124" s="4">
        <f>-PPMT('Owner Occupier'!$D$41/12,'FHA Amotization'!$A124,360,'Owner Occupier'!$D$40,0,0)</f>
        <v>794.54402493034195</v>
      </c>
      <c r="C124" s="4">
        <f>-IPMT('Owner Occupier'!$D$41/12,'FHA Amotization'!$A124,360,'Owner Occupier'!$D$40,0,0)</f>
        <v>1061.6189750962117</v>
      </c>
      <c r="D124" s="4">
        <f t="shared" si="3"/>
        <v>1856.1630000265536</v>
      </c>
      <c r="E124" s="3">
        <f t="shared" si="4"/>
        <v>298956.6960022354</v>
      </c>
      <c r="F124" s="4">
        <f>('Owner Occupier'!$H$24-'Owner Occupier'!$D$52)/('Owner Occupier'!$D$56-'Owner Occupier'!$D$52)*B124</f>
        <v>382.35466365292888</v>
      </c>
      <c r="G124" s="4">
        <f t="shared" si="5"/>
        <v>37707.996069954643</v>
      </c>
    </row>
    <row r="125" spans="1:7" x14ac:dyDescent="0.25">
      <c r="A125">
        <v>122</v>
      </c>
      <c r="B125" s="4">
        <f>-PPMT('Owner Occupier'!$D$41/12,'FHA Amotization'!$A125,360,'Owner Occupier'!$D$40,0,0)</f>
        <v>797.358035018637</v>
      </c>
      <c r="C125" s="4">
        <f>-IPMT('Owner Occupier'!$D$41/12,'FHA Amotization'!$A125,360,'Owner Occupier'!$D$40,0,0)</f>
        <v>1058.804965007917</v>
      </c>
      <c r="D125" s="4">
        <f t="shared" si="3"/>
        <v>1856.1630000265541</v>
      </c>
      <c r="E125" s="3">
        <f t="shared" si="4"/>
        <v>298159.33796721679</v>
      </c>
      <c r="F125" s="4">
        <f>('Owner Occupier'!$H$24-'Owner Occupier'!$D$52)/('Owner Occupier'!$D$56-'Owner Occupier'!$D$52)*B125</f>
        <v>383.70883642003304</v>
      </c>
      <c r="G125" s="4">
        <f t="shared" si="5"/>
        <v>38091.704906374674</v>
      </c>
    </row>
    <row r="126" spans="1:7" x14ac:dyDescent="0.25">
      <c r="A126">
        <v>123</v>
      </c>
      <c r="B126" s="4">
        <f>-PPMT('Owner Occupier'!$D$41/12,'FHA Amotization'!$A126,360,'Owner Occupier'!$D$40,0,0)</f>
        <v>800.18201139266137</v>
      </c>
      <c r="C126" s="4">
        <f>-IPMT('Owner Occupier'!$D$41/12,'FHA Amotization'!$A126,360,'Owner Occupier'!$D$40,0,0)</f>
        <v>1055.9809886338924</v>
      </c>
      <c r="D126" s="4">
        <f t="shared" si="3"/>
        <v>1856.1630000265536</v>
      </c>
      <c r="E126" s="3">
        <f t="shared" si="4"/>
        <v>297359.15595582413</v>
      </c>
      <c r="F126" s="4">
        <f>('Owner Occupier'!$H$24-'Owner Occupier'!$D$52)/('Owner Occupier'!$D$56-'Owner Occupier'!$D$52)*B126</f>
        <v>385.06780521568737</v>
      </c>
      <c r="G126" s="4">
        <f t="shared" si="5"/>
        <v>38476.772711590362</v>
      </c>
    </row>
    <row r="127" spans="1:7" x14ac:dyDescent="0.25">
      <c r="A127">
        <v>124</v>
      </c>
      <c r="B127" s="4">
        <f>-PPMT('Owner Occupier'!$D$41/12,'FHA Amotization'!$A127,360,'Owner Occupier'!$D$40,0,0)</f>
        <v>803.01598934967706</v>
      </c>
      <c r="C127" s="4">
        <f>-IPMT('Owner Occupier'!$D$41/12,'FHA Amotization'!$A127,360,'Owner Occupier'!$D$40,0,0)</f>
        <v>1053.1470106768768</v>
      </c>
      <c r="D127" s="4">
        <f t="shared" si="3"/>
        <v>1856.1630000265538</v>
      </c>
      <c r="E127" s="3">
        <f t="shared" si="4"/>
        <v>296556.13996647444</v>
      </c>
      <c r="F127" s="4">
        <f>('Owner Occupier'!$H$24-'Owner Occupier'!$D$52)/('Owner Occupier'!$D$56-'Owner Occupier'!$D$52)*B127</f>
        <v>386.43158702582627</v>
      </c>
      <c r="G127" s="4">
        <f t="shared" si="5"/>
        <v>38863.20429861619</v>
      </c>
    </row>
    <row r="128" spans="1:7" x14ac:dyDescent="0.25">
      <c r="A128">
        <v>125</v>
      </c>
      <c r="B128" s="4">
        <f>-PPMT('Owner Occupier'!$D$41/12,'FHA Amotization'!$A128,360,'Owner Occupier'!$D$40,0,0)</f>
        <v>805.86000431195703</v>
      </c>
      <c r="C128" s="4">
        <f>-IPMT('Owner Occupier'!$D$41/12,'FHA Amotization'!$A128,360,'Owner Occupier'!$D$40,0,0)</f>
        <v>1050.3029957145966</v>
      </c>
      <c r="D128" s="4">
        <f t="shared" si="3"/>
        <v>1856.1630000265536</v>
      </c>
      <c r="E128" s="3">
        <f t="shared" si="4"/>
        <v>295750.27996216249</v>
      </c>
      <c r="F128" s="4">
        <f>('Owner Occupier'!$H$24-'Owner Occupier'!$D$52)/('Owner Occupier'!$D$56-'Owner Occupier'!$D$52)*B128</f>
        <v>387.80019889654267</v>
      </c>
      <c r="G128" s="4">
        <f t="shared" si="5"/>
        <v>39251.004497512731</v>
      </c>
    </row>
    <row r="129" spans="1:7" x14ac:dyDescent="0.25">
      <c r="A129">
        <v>126</v>
      </c>
      <c r="B129" s="4">
        <f>-PPMT('Owner Occupier'!$D$41/12,'FHA Amotization'!$A129,360,'Owner Occupier'!$D$40,0,0)</f>
        <v>808.71409182722857</v>
      </c>
      <c r="C129" s="4">
        <f>-IPMT('Owner Occupier'!$D$41/12,'FHA Amotization'!$A129,360,'Owner Occupier'!$D$40,0,0)</f>
        <v>1047.4489081993252</v>
      </c>
      <c r="D129" s="4">
        <f t="shared" si="3"/>
        <v>1856.1630000265536</v>
      </c>
      <c r="E129" s="3">
        <f t="shared" si="4"/>
        <v>294941.56587033527</v>
      </c>
      <c r="F129" s="4">
        <f>('Owner Occupier'!$H$24-'Owner Occupier'!$D$52)/('Owner Occupier'!$D$56-'Owner Occupier'!$D$52)*B129</f>
        <v>389.17365793430127</v>
      </c>
      <c r="G129" s="4">
        <f t="shared" si="5"/>
        <v>39640.178155447029</v>
      </c>
    </row>
    <row r="130" spans="1:7" x14ac:dyDescent="0.25">
      <c r="A130">
        <v>127</v>
      </c>
      <c r="B130" s="4">
        <f>-PPMT('Owner Occupier'!$D$41/12,'FHA Amotization'!$A130,360,'Owner Occupier'!$D$40,0,0)</f>
        <v>811.5782875691167</v>
      </c>
      <c r="C130" s="4">
        <f>-IPMT('Owner Occupier'!$D$41/12,'FHA Amotization'!$A130,360,'Owner Occupier'!$D$40,0,0)</f>
        <v>1044.584712457437</v>
      </c>
      <c r="D130" s="4">
        <f t="shared" si="3"/>
        <v>1856.1630000265536</v>
      </c>
      <c r="E130" s="3">
        <f t="shared" si="4"/>
        <v>294129.98758276616</v>
      </c>
      <c r="F130" s="4">
        <f>('Owner Occupier'!$H$24-'Owner Occupier'!$D$52)/('Owner Occupier'!$D$56-'Owner Occupier'!$D$52)*B130</f>
        <v>390.5519813061519</v>
      </c>
      <c r="G130" s="4">
        <f t="shared" si="5"/>
        <v>40030.730136753184</v>
      </c>
    </row>
    <row r="131" spans="1:7" x14ac:dyDescent="0.25">
      <c r="A131">
        <v>128</v>
      </c>
      <c r="B131" s="4">
        <f>-PPMT('Owner Occupier'!$D$41/12,'FHA Amotization'!$A131,360,'Owner Occupier'!$D$40,0,0)</f>
        <v>814.45262733759068</v>
      </c>
      <c r="C131" s="4">
        <f>-IPMT('Owner Occupier'!$D$41/12,'FHA Amotization'!$A131,360,'Owner Occupier'!$D$40,0,0)</f>
        <v>1041.7103726889634</v>
      </c>
      <c r="D131" s="4">
        <f t="shared" si="3"/>
        <v>1856.1630000265541</v>
      </c>
      <c r="E131" s="3">
        <f t="shared" si="4"/>
        <v>293315.53495542856</v>
      </c>
      <c r="F131" s="4">
        <f>('Owner Occupier'!$H$24-'Owner Occupier'!$D$52)/('Owner Occupier'!$D$56-'Owner Occupier'!$D$52)*B131</f>
        <v>391.93518623994453</v>
      </c>
      <c r="G131" s="4">
        <f t="shared" si="5"/>
        <v>40422.665322993125</v>
      </c>
    </row>
    <row r="132" spans="1:7" x14ac:dyDescent="0.25">
      <c r="A132">
        <v>129</v>
      </c>
      <c r="B132" s="4">
        <f>-PPMT('Owner Occupier'!$D$41/12,'FHA Amotization'!$A132,360,'Owner Occupier'!$D$40,0,0)</f>
        <v>817.33714705941134</v>
      </c>
      <c r="C132" s="4">
        <f>-IPMT('Owner Occupier'!$D$41/12,'FHA Amotization'!$A132,360,'Owner Occupier'!$D$40,0,0)</f>
        <v>1038.8258529671423</v>
      </c>
      <c r="D132" s="4">
        <f t="shared" si="3"/>
        <v>1856.1630000265536</v>
      </c>
      <c r="E132" s="3">
        <f t="shared" si="4"/>
        <v>292498.19780836918</v>
      </c>
      <c r="F132" s="4">
        <f>('Owner Occupier'!$H$24-'Owner Occupier'!$D$52)/('Owner Occupier'!$D$56-'Owner Occupier'!$D$52)*B132</f>
        <v>393.32329002454435</v>
      </c>
      <c r="G132" s="4">
        <f t="shared" si="5"/>
        <v>40815.988613017667</v>
      </c>
    </row>
    <row r="133" spans="1:7" x14ac:dyDescent="0.25">
      <c r="A133">
        <v>130</v>
      </c>
      <c r="B133" s="4">
        <f>-PPMT('Owner Occupier'!$D$41/12,'FHA Amotization'!$A133,360,'Owner Occupier'!$D$40,0,0)</f>
        <v>820.23188278858004</v>
      </c>
      <c r="C133" s="4">
        <f>-IPMT('Owner Occupier'!$D$41/12,'FHA Amotization'!$A133,360,'Owner Occupier'!$D$40,0,0)</f>
        <v>1035.9311172379737</v>
      </c>
      <c r="D133" s="4">
        <f t="shared" ref="D133:D196" si="6">B133+C133</f>
        <v>1856.1630000265536</v>
      </c>
      <c r="E133" s="3">
        <f t="shared" si="4"/>
        <v>291677.96592558059</v>
      </c>
      <c r="F133" s="4">
        <f>('Owner Occupier'!$H$24-'Owner Occupier'!$D$52)/('Owner Occupier'!$D$56-'Owner Occupier'!$D$52)*B133</f>
        <v>394.71631001004795</v>
      </c>
      <c r="G133" s="4">
        <f t="shared" si="5"/>
        <v>41210.704923027719</v>
      </c>
    </row>
    <row r="134" spans="1:7" x14ac:dyDescent="0.25">
      <c r="A134">
        <v>131</v>
      </c>
      <c r="B134" s="4">
        <f>-PPMT('Owner Occupier'!$D$41/12,'FHA Amotization'!$A134,360,'Owner Occupier'!$D$40,0,0)</f>
        <v>823.13687070678952</v>
      </c>
      <c r="C134" s="4">
        <f>-IPMT('Owner Occupier'!$D$41/12,'FHA Amotization'!$A134,360,'Owner Occupier'!$D$40,0,0)</f>
        <v>1033.0261293197643</v>
      </c>
      <c r="D134" s="4">
        <f t="shared" si="6"/>
        <v>1856.1630000265538</v>
      </c>
      <c r="E134" s="3">
        <f t="shared" ref="E134:E197" si="7">E133-B134</f>
        <v>290854.82905487379</v>
      </c>
      <c r="F134" s="4">
        <f>('Owner Occupier'!$H$24-'Owner Occupier'!$D$52)/('Owner Occupier'!$D$56-'Owner Occupier'!$D$52)*B134</f>
        <v>396.11426360800016</v>
      </c>
      <c r="G134" s="4">
        <f t="shared" ref="G134:G197" si="8">F134+G133</f>
        <v>41606.819186635716</v>
      </c>
    </row>
    <row r="135" spans="1:7" x14ac:dyDescent="0.25">
      <c r="A135">
        <v>132</v>
      </c>
      <c r="B135" s="4">
        <f>-PPMT('Owner Occupier'!$D$41/12,'FHA Amotization'!$A135,360,'Owner Occupier'!$D$40,0,0)</f>
        <v>826.05214712387613</v>
      </c>
      <c r="C135" s="4">
        <f>-IPMT('Owner Occupier'!$D$41/12,'FHA Amotization'!$A135,360,'Owner Occupier'!$D$40,0,0)</f>
        <v>1030.1108529026774</v>
      </c>
      <c r="D135" s="4">
        <f t="shared" si="6"/>
        <v>1856.1630000265536</v>
      </c>
      <c r="E135" s="3">
        <f t="shared" si="7"/>
        <v>290028.77690774988</v>
      </c>
      <c r="F135" s="4">
        <f>('Owner Occupier'!$H$24-'Owner Occupier'!$D$52)/('Owner Occupier'!$D$56-'Owner Occupier'!$D$52)*B135</f>
        <v>397.51716829161182</v>
      </c>
      <c r="G135" s="4">
        <f t="shared" si="8"/>
        <v>42004.336354927327</v>
      </c>
    </row>
    <row r="136" spans="1:7" x14ac:dyDescent="0.25">
      <c r="A136">
        <v>133</v>
      </c>
      <c r="B136" s="4">
        <f>-PPMT('Owner Occupier'!$D$41/12,'FHA Amotization'!$A136,360,'Owner Occupier'!$D$40,0,0)</f>
        <v>828.97774847827316</v>
      </c>
      <c r="C136" s="4">
        <f>-IPMT('Owner Occupier'!$D$41/12,'FHA Amotization'!$A136,360,'Owner Occupier'!$D$40,0,0)</f>
        <v>1027.1852515482806</v>
      </c>
      <c r="D136" s="4">
        <f t="shared" si="6"/>
        <v>1856.1630000265536</v>
      </c>
      <c r="E136" s="3">
        <f t="shared" si="7"/>
        <v>289199.79915927158</v>
      </c>
      <c r="F136" s="4">
        <f>('Owner Occupier'!$H$24-'Owner Occupier'!$D$52)/('Owner Occupier'!$D$56-'Owner Occupier'!$D$52)*B136</f>
        <v>398.92504159597797</v>
      </c>
      <c r="G136" s="4">
        <f t="shared" si="8"/>
        <v>42403.261396523303</v>
      </c>
    </row>
    <row r="137" spans="1:7" x14ac:dyDescent="0.25">
      <c r="A137">
        <v>134</v>
      </c>
      <c r="B137" s="4">
        <f>-PPMT('Owner Occupier'!$D$41/12,'FHA Amotization'!$A137,360,'Owner Occupier'!$D$40,0,0)</f>
        <v>831.91371133746702</v>
      </c>
      <c r="C137" s="4">
        <f>-IPMT('Owner Occupier'!$D$41/12,'FHA Amotization'!$A137,360,'Owner Occupier'!$D$40,0,0)</f>
        <v>1024.2492886890868</v>
      </c>
      <c r="D137" s="4">
        <f t="shared" si="6"/>
        <v>1856.1630000265538</v>
      </c>
      <c r="E137" s="3">
        <f t="shared" si="7"/>
        <v>288367.8854479341</v>
      </c>
      <c r="F137" s="4">
        <f>('Owner Occupier'!$H$24-'Owner Occupier'!$D$52)/('Owner Occupier'!$D$56-'Owner Occupier'!$D$52)*B137</f>
        <v>400.33790111829705</v>
      </c>
      <c r="G137" s="4">
        <f t="shared" si="8"/>
        <v>42803.599297641602</v>
      </c>
    </row>
    <row r="138" spans="1:7" x14ac:dyDescent="0.25">
      <c r="A138">
        <v>135</v>
      </c>
      <c r="B138" s="4">
        <f>-PPMT('Owner Occupier'!$D$41/12,'FHA Amotization'!$A138,360,'Owner Occupier'!$D$40,0,0)</f>
        <v>834.86007239845389</v>
      </c>
      <c r="C138" s="4">
        <f>-IPMT('Owner Occupier'!$D$41/12,'FHA Amotization'!$A138,360,'Owner Occupier'!$D$40,0,0)</f>
        <v>1021.3029276280998</v>
      </c>
      <c r="D138" s="4">
        <f t="shared" si="6"/>
        <v>1856.1630000265536</v>
      </c>
      <c r="E138" s="3">
        <f t="shared" si="7"/>
        <v>287533.02537553565</v>
      </c>
      <c r="F138" s="4">
        <f>('Owner Occupier'!$H$24-'Owner Occupier'!$D$52)/('Owner Occupier'!$D$56-'Owner Occupier'!$D$52)*B138</f>
        <v>401.75576451809104</v>
      </c>
      <c r="G138" s="4">
        <f t="shared" si="8"/>
        <v>43205.355062159695</v>
      </c>
    </row>
    <row r="139" spans="1:7" x14ac:dyDescent="0.25">
      <c r="A139">
        <v>136</v>
      </c>
      <c r="B139" s="4">
        <f>-PPMT('Owner Occupier'!$D$41/12,'FHA Amotization'!$A139,360,'Owner Occupier'!$D$40,0,0)</f>
        <v>837.81686848819834</v>
      </c>
      <c r="C139" s="4">
        <f>-IPMT('Owner Occupier'!$D$41/12,'FHA Amotization'!$A139,360,'Owner Occupier'!$D$40,0,0)</f>
        <v>1018.3461315383551</v>
      </c>
      <c r="D139" s="4">
        <f t="shared" si="6"/>
        <v>1856.1630000265534</v>
      </c>
      <c r="E139" s="3">
        <f t="shared" si="7"/>
        <v>286695.20850704744</v>
      </c>
      <c r="F139" s="4">
        <f>('Owner Occupier'!$H$24-'Owner Occupier'!$D$52)/('Owner Occupier'!$D$56-'Owner Occupier'!$D$52)*B139</f>
        <v>403.17864951742587</v>
      </c>
      <c r="G139" s="4">
        <f t="shared" si="8"/>
        <v>43608.533711677119</v>
      </c>
    </row>
    <row r="140" spans="1:7" x14ac:dyDescent="0.25">
      <c r="A140">
        <v>137</v>
      </c>
      <c r="B140" s="4">
        <f>-PPMT('Owner Occupier'!$D$41/12,'FHA Amotization'!$A140,360,'Owner Occupier'!$D$40,0,0)</f>
        <v>840.78413656409418</v>
      </c>
      <c r="C140" s="4">
        <f>-IPMT('Owner Occupier'!$D$41/12,'FHA Amotization'!$A140,360,'Owner Occupier'!$D$40,0,0)</f>
        <v>1015.3788634624595</v>
      </c>
      <c r="D140" s="4">
        <f t="shared" si="6"/>
        <v>1856.1630000265536</v>
      </c>
      <c r="E140" s="3">
        <f t="shared" si="7"/>
        <v>285854.42437048332</v>
      </c>
      <c r="F140" s="4">
        <f>('Owner Occupier'!$H$24-'Owner Occupier'!$D$52)/('Owner Occupier'!$D$56-'Owner Occupier'!$D$52)*B140</f>
        <v>404.60657390113352</v>
      </c>
      <c r="G140" s="4">
        <f t="shared" si="8"/>
        <v>44013.140285578251</v>
      </c>
    </row>
    <row r="141" spans="1:7" x14ac:dyDescent="0.25">
      <c r="A141">
        <v>138</v>
      </c>
      <c r="B141" s="4">
        <f>-PPMT('Owner Occupier'!$D$41/12,'FHA Amotization'!$A141,360,'Owner Occupier'!$D$40,0,0)</f>
        <v>843.7619137144253</v>
      </c>
      <c r="C141" s="4">
        <f>-IPMT('Owner Occupier'!$D$41/12,'FHA Amotization'!$A141,360,'Owner Occupier'!$D$40,0,0)</f>
        <v>1012.4010863121285</v>
      </c>
      <c r="D141" s="4">
        <f t="shared" si="6"/>
        <v>1856.1630000265538</v>
      </c>
      <c r="E141" s="3">
        <f t="shared" si="7"/>
        <v>285010.66245676891</v>
      </c>
      <c r="F141" s="4">
        <f>('Owner Occupier'!$H$24-'Owner Occupier'!$D$52)/('Owner Occupier'!$D$56-'Owner Occupier'!$D$52)*B141</f>
        <v>406.03955551703331</v>
      </c>
      <c r="G141" s="4">
        <f t="shared" si="8"/>
        <v>44419.179841095283</v>
      </c>
    </row>
    <row r="142" spans="1:7" x14ac:dyDescent="0.25">
      <c r="A142">
        <v>139</v>
      </c>
      <c r="B142" s="4">
        <f>-PPMT('Owner Occupier'!$D$41/12,'FHA Amotization'!$A142,360,'Owner Occupier'!$D$40,0,0)</f>
        <v>846.75023715883049</v>
      </c>
      <c r="C142" s="4">
        <f>-IPMT('Owner Occupier'!$D$41/12,'FHA Amotization'!$A142,360,'Owner Occupier'!$D$40,0,0)</f>
        <v>1009.4127628677229</v>
      </c>
      <c r="D142" s="4">
        <f t="shared" si="6"/>
        <v>1856.1630000265534</v>
      </c>
      <c r="E142" s="3">
        <f t="shared" si="7"/>
        <v>284163.91221961007</v>
      </c>
      <c r="F142" s="4">
        <f>('Owner Occupier'!$H$24-'Owner Occupier'!$D$52)/('Owner Occupier'!$D$56-'Owner Occupier'!$D$52)*B142</f>
        <v>407.47761227615609</v>
      </c>
      <c r="G142" s="4">
        <f t="shared" si="8"/>
        <v>44826.657453371437</v>
      </c>
    </row>
    <row r="143" spans="1:7" x14ac:dyDescent="0.25">
      <c r="A143">
        <v>140</v>
      </c>
      <c r="B143" s="4">
        <f>-PPMT('Owner Occupier'!$D$41/12,'FHA Amotization'!$A143,360,'Owner Occupier'!$D$40,0,0)</f>
        <v>849.74914424876806</v>
      </c>
      <c r="C143" s="4">
        <f>-IPMT('Owner Occupier'!$D$41/12,'FHA Amotization'!$A143,360,'Owner Occupier'!$D$40,0,0)</f>
        <v>1006.4138557777856</v>
      </c>
      <c r="D143" s="4">
        <f t="shared" si="6"/>
        <v>1856.1630000265536</v>
      </c>
      <c r="E143" s="3">
        <f t="shared" si="7"/>
        <v>283314.16307536128</v>
      </c>
      <c r="F143" s="4">
        <f>('Owner Occupier'!$H$24-'Owner Occupier'!$D$52)/('Owner Occupier'!$D$56-'Owner Occupier'!$D$52)*B143</f>
        <v>408.92076215296754</v>
      </c>
      <c r="G143" s="4">
        <f t="shared" si="8"/>
        <v>45235.578215524401</v>
      </c>
    </row>
    <row r="144" spans="1:7" x14ac:dyDescent="0.25">
      <c r="A144">
        <v>141</v>
      </c>
      <c r="B144" s="4">
        <f>-PPMT('Owner Occupier'!$D$41/12,'FHA Amotization'!$A144,360,'Owner Occupier'!$D$40,0,0)</f>
        <v>852.75867246798248</v>
      </c>
      <c r="C144" s="4">
        <f>-IPMT('Owner Occupier'!$D$41/12,'FHA Amotization'!$A144,360,'Owner Occupier'!$D$40,0,0)</f>
        <v>1003.404327558571</v>
      </c>
      <c r="D144" s="4">
        <f t="shared" si="6"/>
        <v>1856.1630000265536</v>
      </c>
      <c r="E144" s="3">
        <f t="shared" si="7"/>
        <v>282461.40440289333</v>
      </c>
      <c r="F144" s="4">
        <f>('Owner Occupier'!$H$24-'Owner Occupier'!$D$52)/('Owner Occupier'!$D$56-'Owner Occupier'!$D$52)*B144</f>
        <v>410.36902318559265</v>
      </c>
      <c r="G144" s="4">
        <f t="shared" si="8"/>
        <v>45645.947238709996</v>
      </c>
    </row>
    <row r="145" spans="1:7" x14ac:dyDescent="0.25">
      <c r="A145">
        <v>142</v>
      </c>
      <c r="B145" s="4">
        <f>-PPMT('Owner Occupier'!$D$41/12,'FHA Amotization'!$A145,360,'Owner Occupier'!$D$40,0,0)</f>
        <v>855.77885943297315</v>
      </c>
      <c r="C145" s="4">
        <f>-IPMT('Owner Occupier'!$D$41/12,'FHA Amotization'!$A145,360,'Owner Occupier'!$D$40,0,0)</f>
        <v>1000.3841405935804</v>
      </c>
      <c r="D145" s="4">
        <f t="shared" si="6"/>
        <v>1856.1630000265536</v>
      </c>
      <c r="E145" s="3">
        <f t="shared" si="7"/>
        <v>281605.62554346037</v>
      </c>
      <c r="F145" s="4">
        <f>('Owner Occupier'!$H$24-'Owner Occupier'!$D$52)/('Owner Occupier'!$D$56-'Owner Occupier'!$D$52)*B145</f>
        <v>411.82241347604156</v>
      </c>
      <c r="G145" s="4">
        <f t="shared" si="8"/>
        <v>46057.769652186034</v>
      </c>
    </row>
    <row r="146" spans="1:7" x14ac:dyDescent="0.25">
      <c r="A146">
        <v>143</v>
      </c>
      <c r="B146" s="4">
        <f>-PPMT('Owner Occupier'!$D$41/12,'FHA Amotization'!$A146,360,'Owner Occupier'!$D$40,0,0)</f>
        <v>858.809742893465</v>
      </c>
      <c r="C146" s="4">
        <f>-IPMT('Owner Occupier'!$D$41/12,'FHA Amotization'!$A146,360,'Owner Occupier'!$D$40,0,0)</f>
        <v>997.35325713308862</v>
      </c>
      <c r="D146" s="4">
        <f t="shared" si="6"/>
        <v>1856.1630000265536</v>
      </c>
      <c r="E146" s="3">
        <f t="shared" si="7"/>
        <v>280746.81580056692</v>
      </c>
      <c r="F146" s="4">
        <f>('Owner Occupier'!$H$24-'Owner Occupier'!$D$52)/('Owner Occupier'!$D$56-'Owner Occupier'!$D$52)*B146</f>
        <v>413.28095119043593</v>
      </c>
      <c r="G146" s="4">
        <f t="shared" si="8"/>
        <v>46471.050603376469</v>
      </c>
    </row>
    <row r="147" spans="1:7" x14ac:dyDescent="0.25">
      <c r="A147">
        <v>144</v>
      </c>
      <c r="B147" s="4">
        <f>-PPMT('Owner Occupier'!$D$41/12,'FHA Amotization'!$A147,360,'Owner Occupier'!$D$40,0,0)</f>
        <v>861.85136073287936</v>
      </c>
      <c r="C147" s="4">
        <f>-IPMT('Owner Occupier'!$D$41/12,'FHA Amotization'!$A147,360,'Owner Occupier'!$D$40,0,0)</f>
        <v>994.31163929367438</v>
      </c>
      <c r="D147" s="4">
        <f t="shared" si="6"/>
        <v>1856.1630000265536</v>
      </c>
      <c r="E147" s="3">
        <f t="shared" si="7"/>
        <v>279884.96443983406</v>
      </c>
      <c r="F147" s="4">
        <f>('Owner Occupier'!$H$24-'Owner Occupier'!$D$52)/('Owner Occupier'!$D$56-'Owner Occupier'!$D$52)*B147</f>
        <v>414.74465455923536</v>
      </c>
      <c r="G147" s="4">
        <f t="shared" si="8"/>
        <v>46885.795257935701</v>
      </c>
    </row>
    <row r="148" spans="1:7" x14ac:dyDescent="0.25">
      <c r="A148">
        <v>145</v>
      </c>
      <c r="B148" s="4">
        <f>-PPMT('Owner Occupier'!$D$41/12,'FHA Amotization'!$A148,360,'Owner Occupier'!$D$40,0,0)</f>
        <v>864.90375096880837</v>
      </c>
      <c r="C148" s="4">
        <f>-IPMT('Owner Occupier'!$D$41/12,'FHA Amotization'!$A148,360,'Owner Occupier'!$D$40,0,0)</f>
        <v>991.25924905774525</v>
      </c>
      <c r="D148" s="4">
        <f t="shared" si="6"/>
        <v>1856.1630000265536</v>
      </c>
      <c r="E148" s="3">
        <f t="shared" si="7"/>
        <v>279020.06068886525</v>
      </c>
      <c r="F148" s="4">
        <f>('Owner Occupier'!$H$24-'Owner Occupier'!$D$52)/('Owner Occupier'!$D$56-'Owner Occupier'!$D$52)*B148</f>
        <v>416.21354187746601</v>
      </c>
      <c r="G148" s="4">
        <f t="shared" si="8"/>
        <v>47302.008799813164</v>
      </c>
    </row>
    <row r="149" spans="1:7" x14ac:dyDescent="0.25">
      <c r="A149">
        <v>146</v>
      </c>
      <c r="B149" s="4">
        <f>-PPMT('Owner Occupier'!$D$41/12,'FHA Amotization'!$A149,360,'Owner Occupier'!$D$40,0,0)</f>
        <v>867.96695175348964</v>
      </c>
      <c r="C149" s="4">
        <f>-IPMT('Owner Occupier'!$D$41/12,'FHA Amotization'!$A149,360,'Owner Occupier'!$D$40,0,0)</f>
        <v>988.19604827306432</v>
      </c>
      <c r="D149" s="4">
        <f t="shared" si="6"/>
        <v>1856.1630000265541</v>
      </c>
      <c r="E149" s="3">
        <f t="shared" si="7"/>
        <v>278152.09373711178</v>
      </c>
      <c r="F149" s="4">
        <f>('Owner Occupier'!$H$24-'Owner Occupier'!$D$52)/('Owner Occupier'!$D$56-'Owner Occupier'!$D$52)*B149</f>
        <v>417.68763150494874</v>
      </c>
      <c r="G149" s="4">
        <f t="shared" si="8"/>
        <v>47719.696431318116</v>
      </c>
    </row>
    <row r="150" spans="1:7" x14ac:dyDescent="0.25">
      <c r="A150">
        <v>147</v>
      </c>
      <c r="B150" s="4">
        <f>-PPMT('Owner Occupier'!$D$41/12,'FHA Amotization'!$A150,360,'Owner Occupier'!$D$40,0,0)</f>
        <v>871.04100137428316</v>
      </c>
      <c r="C150" s="4">
        <f>-IPMT('Owner Occupier'!$D$41/12,'FHA Amotization'!$A150,360,'Owner Occupier'!$D$40,0,0)</f>
        <v>985.12199865227069</v>
      </c>
      <c r="D150" s="4">
        <f t="shared" si="6"/>
        <v>1856.1630000265538</v>
      </c>
      <c r="E150" s="3">
        <f t="shared" si="7"/>
        <v>277281.05273573747</v>
      </c>
      <c r="F150" s="4">
        <f>('Owner Occupier'!$H$24-'Owner Occupier'!$D$52)/('Owner Occupier'!$D$56-'Owner Occupier'!$D$52)*B150</f>
        <v>419.16694186652876</v>
      </c>
      <c r="G150" s="4">
        <f t="shared" si="8"/>
        <v>48138.863373184642</v>
      </c>
    </row>
    <row r="151" spans="1:7" x14ac:dyDescent="0.25">
      <c r="A151">
        <v>148</v>
      </c>
      <c r="B151" s="4">
        <f>-PPMT('Owner Occupier'!$D$41/12,'FHA Amotization'!$A151,360,'Owner Occupier'!$D$40,0,0)</f>
        <v>874.12593825415047</v>
      </c>
      <c r="C151" s="4">
        <f>-IPMT('Owner Occupier'!$D$41/12,'FHA Amotization'!$A151,360,'Owner Occupier'!$D$40,0,0)</f>
        <v>982.03706177240315</v>
      </c>
      <c r="D151" s="4">
        <f t="shared" si="6"/>
        <v>1856.1630000265536</v>
      </c>
      <c r="E151" s="3">
        <f t="shared" si="7"/>
        <v>276406.92679748329</v>
      </c>
      <c r="F151" s="4">
        <f>('Owner Occupier'!$H$24-'Owner Occupier'!$D$52)/('Owner Occupier'!$D$56-'Owner Occupier'!$D$52)*B151</f>
        <v>420.65149145230606</v>
      </c>
      <c r="G151" s="4">
        <f t="shared" si="8"/>
        <v>48559.514864636949</v>
      </c>
    </row>
    <row r="152" spans="1:7" x14ac:dyDescent="0.25">
      <c r="A152">
        <v>149</v>
      </c>
      <c r="B152" s="4">
        <f>-PPMT('Owner Occupier'!$D$41/12,'FHA Amotization'!$A152,360,'Owner Occupier'!$D$40,0,0)</f>
        <v>877.221800952134</v>
      </c>
      <c r="C152" s="4">
        <f>-IPMT('Owner Occupier'!$D$41/12,'FHA Amotization'!$A152,360,'Owner Occupier'!$D$40,0,0)</f>
        <v>978.94119907441984</v>
      </c>
      <c r="D152" s="4">
        <f t="shared" si="6"/>
        <v>1856.1630000265538</v>
      </c>
      <c r="E152" s="3">
        <f t="shared" si="7"/>
        <v>275529.70499653113</v>
      </c>
      <c r="F152" s="4">
        <f>('Owner Occupier'!$H$24-'Owner Occupier'!$D$52)/('Owner Occupier'!$D$56-'Owner Occupier'!$D$52)*B152</f>
        <v>422.14129881786636</v>
      </c>
      <c r="G152" s="4">
        <f t="shared" si="8"/>
        <v>48981.656163454812</v>
      </c>
    </row>
    <row r="153" spans="1:7" x14ac:dyDescent="0.25">
      <c r="A153">
        <v>150</v>
      </c>
      <c r="B153" s="4">
        <f>-PPMT('Owner Occupier'!$D$41/12,'FHA Amotization'!$A153,360,'Owner Occupier'!$D$40,0,0)</f>
        <v>880.32862816383943</v>
      </c>
      <c r="C153" s="4">
        <f>-IPMT('Owner Occupier'!$D$41/12,'FHA Amotization'!$A153,360,'Owner Occupier'!$D$40,0,0)</f>
        <v>975.83437186271431</v>
      </c>
      <c r="D153" s="4">
        <f t="shared" si="6"/>
        <v>1856.1630000265536</v>
      </c>
      <c r="E153" s="3">
        <f t="shared" si="7"/>
        <v>274649.37636836729</v>
      </c>
      <c r="F153" s="4">
        <f>('Owner Occupier'!$H$24-'Owner Occupier'!$D$52)/('Owner Occupier'!$D$56-'Owner Occupier'!$D$52)*B153</f>
        <v>423.63638258451294</v>
      </c>
      <c r="G153" s="4">
        <f t="shared" si="8"/>
        <v>49405.292546039323</v>
      </c>
    </row>
    <row r="154" spans="1:7" x14ac:dyDescent="0.25">
      <c r="A154">
        <v>151</v>
      </c>
      <c r="B154" s="4">
        <f>-PPMT('Owner Occupier'!$D$41/12,'FHA Amotization'!$A154,360,'Owner Occupier'!$D$40,0,0)</f>
        <v>883.44645872191973</v>
      </c>
      <c r="C154" s="4">
        <f>-IPMT('Owner Occupier'!$D$41/12,'FHA Amotization'!$A154,360,'Owner Occupier'!$D$40,0,0)</f>
        <v>972.71654130463401</v>
      </c>
      <c r="D154" s="4">
        <f t="shared" si="6"/>
        <v>1856.1630000265536</v>
      </c>
      <c r="E154" s="3">
        <f t="shared" si="7"/>
        <v>273765.92990964535</v>
      </c>
      <c r="F154" s="4">
        <f>('Owner Occupier'!$H$24-'Owner Occupier'!$D$52)/('Owner Occupier'!$D$56-'Owner Occupier'!$D$52)*B154</f>
        <v>425.13676143949976</v>
      </c>
      <c r="G154" s="4">
        <f t="shared" si="8"/>
        <v>49830.429307478822</v>
      </c>
    </row>
    <row r="155" spans="1:7" x14ac:dyDescent="0.25">
      <c r="A155">
        <v>152</v>
      </c>
      <c r="B155" s="4">
        <f>-PPMT('Owner Occupier'!$D$41/12,'FHA Amotization'!$A155,360,'Owner Occupier'!$D$40,0,0)</f>
        <v>886.57533159655975</v>
      </c>
      <c r="C155" s="4">
        <f>-IPMT('Owner Occupier'!$D$41/12,'FHA Amotization'!$A155,360,'Owner Occupier'!$D$40,0,0)</f>
        <v>969.58766842999398</v>
      </c>
      <c r="D155" s="4">
        <f t="shared" si="6"/>
        <v>1856.1630000265536</v>
      </c>
      <c r="E155" s="3">
        <f t="shared" si="7"/>
        <v>272879.35457804881</v>
      </c>
      <c r="F155" s="4">
        <f>('Owner Occupier'!$H$24-'Owner Occupier'!$D$52)/('Owner Occupier'!$D$56-'Owner Occupier'!$D$52)*B155</f>
        <v>426.64245413626463</v>
      </c>
      <c r="G155" s="4">
        <f t="shared" si="8"/>
        <v>50257.071761615087</v>
      </c>
    </row>
    <row r="156" spans="1:7" x14ac:dyDescent="0.25">
      <c r="A156">
        <v>153</v>
      </c>
      <c r="B156" s="4">
        <f>-PPMT('Owner Occupier'!$D$41/12,'FHA Amotization'!$A156,360,'Owner Occupier'!$D$40,0,0)</f>
        <v>889.71528589596426</v>
      </c>
      <c r="C156" s="4">
        <f>-IPMT('Owner Occupier'!$D$41/12,'FHA Amotization'!$A156,360,'Owner Occupier'!$D$40,0,0)</f>
        <v>966.44771413058936</v>
      </c>
      <c r="D156" s="4">
        <f t="shared" si="6"/>
        <v>1856.1630000265536</v>
      </c>
      <c r="E156" s="3">
        <f t="shared" si="7"/>
        <v>271989.63929215283</v>
      </c>
      <c r="F156" s="4">
        <f>('Owner Occupier'!$H$24-'Owner Occupier'!$D$52)/('Owner Occupier'!$D$56-'Owner Occupier'!$D$52)*B156</f>
        <v>428.15347949466388</v>
      </c>
      <c r="G156" s="4">
        <f t="shared" si="8"/>
        <v>50685.225241109751</v>
      </c>
    </row>
    <row r="157" spans="1:7" x14ac:dyDescent="0.25">
      <c r="A157">
        <v>154</v>
      </c>
      <c r="B157" s="4">
        <f>-PPMT('Owner Occupier'!$D$41/12,'FHA Amotization'!$A157,360,'Owner Occupier'!$D$40,0,0)</f>
        <v>892.86636086684575</v>
      </c>
      <c r="C157" s="4">
        <f>-IPMT('Owner Occupier'!$D$41/12,'FHA Amotization'!$A157,360,'Owner Occupier'!$D$40,0,0)</f>
        <v>963.29663915970798</v>
      </c>
      <c r="D157" s="4">
        <f t="shared" si="6"/>
        <v>1856.1630000265536</v>
      </c>
      <c r="E157" s="3">
        <f t="shared" si="7"/>
        <v>271096.77293128596</v>
      </c>
      <c r="F157" s="4">
        <f>('Owner Occupier'!$H$24-'Owner Occupier'!$D$52)/('Owner Occupier'!$D$56-'Owner Occupier'!$D$52)*B157</f>
        <v>429.66985640120748</v>
      </c>
      <c r="G157" s="4">
        <f t="shared" si="8"/>
        <v>51114.895097510955</v>
      </c>
    </row>
    <row r="158" spans="1:7" x14ac:dyDescent="0.25">
      <c r="A158">
        <v>155</v>
      </c>
      <c r="B158" s="4">
        <f>-PPMT('Owner Occupier'!$D$41/12,'FHA Amotization'!$A158,360,'Owner Occupier'!$D$40,0,0)</f>
        <v>896.02859589491595</v>
      </c>
      <c r="C158" s="4">
        <f>-IPMT('Owner Occupier'!$D$41/12,'FHA Amotization'!$A158,360,'Owner Occupier'!$D$40,0,0)</f>
        <v>960.13440413163789</v>
      </c>
      <c r="D158" s="4">
        <f t="shared" si="6"/>
        <v>1856.1630000265538</v>
      </c>
      <c r="E158" s="3">
        <f t="shared" si="7"/>
        <v>270200.74433539103</v>
      </c>
      <c r="F158" s="4">
        <f>('Owner Occupier'!$H$24-'Owner Occupier'!$D$52)/('Owner Occupier'!$D$56-'Owner Occupier'!$D$52)*B158</f>
        <v>431.19160380929515</v>
      </c>
      <c r="G158" s="4">
        <f t="shared" si="8"/>
        <v>51546.086701320251</v>
      </c>
    </row>
    <row r="159" spans="1:7" x14ac:dyDescent="0.25">
      <c r="A159">
        <v>156</v>
      </c>
      <c r="B159" s="4">
        <f>-PPMT('Owner Occupier'!$D$41/12,'FHA Amotization'!$A159,360,'Owner Occupier'!$D$40,0,0)</f>
        <v>899.20203050537714</v>
      </c>
      <c r="C159" s="4">
        <f>-IPMT('Owner Occupier'!$D$41/12,'FHA Amotization'!$A159,360,'Owner Occupier'!$D$40,0,0)</f>
        <v>956.96096952117648</v>
      </c>
      <c r="D159" s="4">
        <f t="shared" si="6"/>
        <v>1856.1630000265536</v>
      </c>
      <c r="E159" s="3">
        <f t="shared" si="7"/>
        <v>269301.54230488563</v>
      </c>
      <c r="F159" s="4">
        <f>('Owner Occupier'!$H$24-'Owner Occupier'!$D$52)/('Owner Occupier'!$D$56-'Owner Occupier'!$D$52)*B159</f>
        <v>432.7187407394531</v>
      </c>
      <c r="G159" s="4">
        <f t="shared" si="8"/>
        <v>51978.805442059704</v>
      </c>
    </row>
    <row r="160" spans="1:7" x14ac:dyDescent="0.25">
      <c r="A160">
        <v>157</v>
      </c>
      <c r="B160" s="4">
        <f>-PPMT('Owner Occupier'!$D$41/12,'FHA Amotization'!$A160,360,'Owner Occupier'!$D$40,0,0)</f>
        <v>902.38670436341704</v>
      </c>
      <c r="C160" s="4">
        <f>-IPMT('Owner Occupier'!$D$41/12,'FHA Amotization'!$A160,360,'Owner Occupier'!$D$40,0,0)</f>
        <v>953.77629566313669</v>
      </c>
      <c r="D160" s="4">
        <f t="shared" si="6"/>
        <v>1856.1630000265536</v>
      </c>
      <c r="E160" s="3">
        <f t="shared" si="7"/>
        <v>268399.15560052224</v>
      </c>
      <c r="F160" s="4">
        <f>('Owner Occupier'!$H$24-'Owner Occupier'!$D$52)/('Owner Occupier'!$D$56-'Owner Occupier'!$D$52)*B160</f>
        <v>434.25128627957196</v>
      </c>
      <c r="G160" s="4">
        <f t="shared" si="8"/>
        <v>52413.056728339274</v>
      </c>
    </row>
    <row r="161" spans="1:7" x14ac:dyDescent="0.25">
      <c r="A161">
        <v>158</v>
      </c>
      <c r="B161" s="4">
        <f>-PPMT('Owner Occupier'!$D$41/12,'FHA Amotization'!$A161,360,'Owner Occupier'!$D$40,0,0)</f>
        <v>905.58265727470405</v>
      </c>
      <c r="C161" s="4">
        <f>-IPMT('Owner Occupier'!$D$41/12,'FHA Amotization'!$A161,360,'Owner Occupier'!$D$40,0,0)</f>
        <v>950.58034275184968</v>
      </c>
      <c r="D161" s="4">
        <f t="shared" si="6"/>
        <v>1856.1630000265536</v>
      </c>
      <c r="E161" s="3">
        <f t="shared" si="7"/>
        <v>267493.57294324751</v>
      </c>
      <c r="F161" s="4">
        <f>('Owner Occupier'!$H$24-'Owner Occupier'!$D$52)/('Owner Occupier'!$D$56-'Owner Occupier'!$D$52)*B161</f>
        <v>435.78925958514543</v>
      </c>
      <c r="G161" s="4">
        <f t="shared" si="8"/>
        <v>52848.845987924418</v>
      </c>
    </row>
    <row r="162" spans="1:7" x14ac:dyDescent="0.25">
      <c r="A162">
        <v>159</v>
      </c>
      <c r="B162" s="4">
        <f>-PPMT('Owner Occupier'!$D$41/12,'FHA Amotization'!$A162,360,'Owner Occupier'!$D$40,0,0)</f>
        <v>908.78992918588528</v>
      </c>
      <c r="C162" s="4">
        <f>-IPMT('Owner Occupier'!$D$41/12,'FHA Amotization'!$A162,360,'Owner Occupier'!$D$40,0,0)</f>
        <v>947.37307084066856</v>
      </c>
      <c r="D162" s="4">
        <f t="shared" si="6"/>
        <v>1856.1630000265538</v>
      </c>
      <c r="E162" s="3">
        <f t="shared" si="7"/>
        <v>266584.78301406163</v>
      </c>
      <c r="F162" s="4">
        <f>('Owner Occupier'!$H$24-'Owner Occupier'!$D$52)/('Owner Occupier'!$D$56-'Owner Occupier'!$D$52)*B162</f>
        <v>437.3326798795095</v>
      </c>
      <c r="G162" s="4">
        <f t="shared" si="8"/>
        <v>53286.178667803928</v>
      </c>
    </row>
    <row r="163" spans="1:7" x14ac:dyDescent="0.25">
      <c r="A163">
        <v>160</v>
      </c>
      <c r="B163" s="4">
        <f>-PPMT('Owner Occupier'!$D$41/12,'FHA Amotization'!$A163,360,'Owner Occupier'!$D$40,0,0)</f>
        <v>912.00856018508534</v>
      </c>
      <c r="C163" s="4">
        <f>-IPMT('Owner Occupier'!$D$41/12,'FHA Amotization'!$A163,360,'Owner Occupier'!$D$40,0,0)</f>
        <v>944.15443984146839</v>
      </c>
      <c r="D163" s="4">
        <f t="shared" si="6"/>
        <v>1856.1630000265536</v>
      </c>
      <c r="E163" s="3">
        <f t="shared" si="7"/>
        <v>265672.77445387654</v>
      </c>
      <c r="F163" s="4">
        <f>('Owner Occupier'!$H$24-'Owner Occupier'!$D$52)/('Owner Occupier'!$D$56-'Owner Occupier'!$D$52)*B163</f>
        <v>438.88156645408276</v>
      </c>
      <c r="G163" s="4">
        <f t="shared" si="8"/>
        <v>53725.06023425801</v>
      </c>
    </row>
    <row r="164" spans="1:7" x14ac:dyDescent="0.25">
      <c r="A164">
        <v>161</v>
      </c>
      <c r="B164" s="4">
        <f>-PPMT('Owner Occupier'!$D$41/12,'FHA Amotization'!$A164,360,'Owner Occupier'!$D$40,0,0)</f>
        <v>915.23859050240742</v>
      </c>
      <c r="C164" s="4">
        <f>-IPMT('Owner Occupier'!$D$41/12,'FHA Amotization'!$A164,360,'Owner Occupier'!$D$40,0,0)</f>
        <v>940.92440952414631</v>
      </c>
      <c r="D164" s="4">
        <f t="shared" si="6"/>
        <v>1856.1630000265536</v>
      </c>
      <c r="E164" s="3">
        <f t="shared" si="7"/>
        <v>264757.53586337413</v>
      </c>
      <c r="F164" s="4">
        <f>('Owner Occupier'!$H$24-'Owner Occupier'!$D$52)/('Owner Occupier'!$D$56-'Owner Occupier'!$D$52)*B164</f>
        <v>440.4359386686076</v>
      </c>
      <c r="G164" s="4">
        <f t="shared" si="8"/>
        <v>54165.496172926614</v>
      </c>
    </row>
    <row r="165" spans="1:7" x14ac:dyDescent="0.25">
      <c r="A165">
        <v>162</v>
      </c>
      <c r="B165" s="4">
        <f>-PPMT('Owner Occupier'!$D$41/12,'FHA Amotization'!$A165,360,'Owner Occupier'!$D$40,0,0)</f>
        <v>918.48006051043683</v>
      </c>
      <c r="C165" s="4">
        <f>-IPMT('Owner Occupier'!$D$41/12,'FHA Amotization'!$A165,360,'Owner Occupier'!$D$40,0,0)</f>
        <v>937.68293951611679</v>
      </c>
      <c r="D165" s="4">
        <f t="shared" si="6"/>
        <v>1856.1630000265536</v>
      </c>
      <c r="E165" s="3">
        <f t="shared" si="7"/>
        <v>263839.05580286367</v>
      </c>
      <c r="F165" s="4">
        <f>('Owner Occupier'!$H$24-'Owner Occupier'!$D$52)/('Owner Occupier'!$D$56-'Owner Occupier'!$D$52)*B165</f>
        <v>441.99581595139227</v>
      </c>
      <c r="G165" s="4">
        <f t="shared" si="8"/>
        <v>54607.491988878006</v>
      </c>
    </row>
    <row r="166" spans="1:7" x14ac:dyDescent="0.25">
      <c r="A166">
        <v>163</v>
      </c>
      <c r="B166" s="4">
        <f>-PPMT('Owner Occupier'!$D$41/12,'FHA Amotization'!$A166,360,'Owner Occupier'!$D$40,0,0)</f>
        <v>921.73301072474453</v>
      </c>
      <c r="C166" s="4">
        <f>-IPMT('Owner Occupier'!$D$41/12,'FHA Amotization'!$A166,360,'Owner Occupier'!$D$40,0,0)</f>
        <v>934.42998930180886</v>
      </c>
      <c r="D166" s="4">
        <f t="shared" si="6"/>
        <v>1856.1630000265534</v>
      </c>
      <c r="E166" s="3">
        <f t="shared" si="7"/>
        <v>262917.3227921389</v>
      </c>
      <c r="F166" s="4">
        <f>('Owner Occupier'!$H$24-'Owner Occupier'!$D$52)/('Owner Occupier'!$D$56-'Owner Occupier'!$D$52)*B166</f>
        <v>443.56121779955339</v>
      </c>
      <c r="G166" s="4">
        <f t="shared" si="8"/>
        <v>55051.053206677556</v>
      </c>
    </row>
    <row r="167" spans="1:7" x14ac:dyDescent="0.25">
      <c r="A167">
        <v>164</v>
      </c>
      <c r="B167" s="4">
        <f>-PPMT('Owner Occupier'!$D$41/12,'FHA Amotization'!$A167,360,'Owner Occupier'!$D$40,0,0)</f>
        <v>924.99748180439485</v>
      </c>
      <c r="C167" s="4">
        <f>-IPMT('Owner Occupier'!$D$41/12,'FHA Amotization'!$A167,360,'Owner Occupier'!$D$40,0,0)</f>
        <v>931.16551822215888</v>
      </c>
      <c r="D167" s="4">
        <f t="shared" si="6"/>
        <v>1856.1630000265536</v>
      </c>
      <c r="E167" s="3">
        <f t="shared" si="7"/>
        <v>261992.32531033451</v>
      </c>
      <c r="F167" s="4">
        <f>('Owner Occupier'!$H$24-'Owner Occupier'!$D$52)/('Owner Occupier'!$D$56-'Owner Occupier'!$D$52)*B167</f>
        <v>445.13216377926022</v>
      </c>
      <c r="G167" s="4">
        <f t="shared" si="8"/>
        <v>55496.185370456813</v>
      </c>
    </row>
    <row r="168" spans="1:7" x14ac:dyDescent="0.25">
      <c r="A168">
        <v>165</v>
      </c>
      <c r="B168" s="4">
        <f>-PPMT('Owner Occupier'!$D$41/12,'FHA Amotization'!$A168,360,'Owner Occupier'!$D$40,0,0)</f>
        <v>928.27351455245207</v>
      </c>
      <c r="C168" s="4">
        <f>-IPMT('Owner Occupier'!$D$41/12,'FHA Amotization'!$A168,360,'Owner Occupier'!$D$40,0,0)</f>
        <v>927.88948547410166</v>
      </c>
      <c r="D168" s="4">
        <f t="shared" si="6"/>
        <v>1856.1630000265536</v>
      </c>
      <c r="E168" s="3">
        <f t="shared" si="7"/>
        <v>261064.05179578206</v>
      </c>
      <c r="F168" s="4">
        <f>('Owner Occupier'!$H$24-'Owner Occupier'!$D$52)/('Owner Occupier'!$D$56-'Owner Occupier'!$D$52)*B168</f>
        <v>446.70867352597844</v>
      </c>
      <c r="G168" s="4">
        <f t="shared" si="8"/>
        <v>55942.894043982793</v>
      </c>
    </row>
    <row r="169" spans="1:7" x14ac:dyDescent="0.25">
      <c r="A169">
        <v>166</v>
      </c>
      <c r="B169" s="4">
        <f>-PPMT('Owner Occupier'!$D$41/12,'FHA Amotization'!$A169,360,'Owner Occupier'!$D$40,0,0)</f>
        <v>931.56114991649201</v>
      </c>
      <c r="C169" s="4">
        <f>-IPMT('Owner Occupier'!$D$41/12,'FHA Amotization'!$A169,360,'Owner Occupier'!$D$40,0,0)</f>
        <v>924.60185011006183</v>
      </c>
      <c r="D169" s="4">
        <f t="shared" si="6"/>
        <v>1856.1630000265538</v>
      </c>
      <c r="E169" s="3">
        <f t="shared" si="7"/>
        <v>260132.49064586556</v>
      </c>
      <c r="F169" s="4">
        <f>('Owner Occupier'!$H$24-'Owner Occupier'!$D$52)/('Owner Occupier'!$D$56-'Owner Occupier'!$D$52)*B169</f>
        <v>448.29076674471628</v>
      </c>
      <c r="G169" s="4">
        <f t="shared" si="8"/>
        <v>56391.184810727507</v>
      </c>
    </row>
    <row r="170" spans="1:7" x14ac:dyDescent="0.25">
      <c r="A170">
        <v>167</v>
      </c>
      <c r="B170" s="4">
        <f>-PPMT('Owner Occupier'!$D$41/12,'FHA Amotization'!$A170,360,'Owner Occupier'!$D$40,0,0)</f>
        <v>934.86042898911285</v>
      </c>
      <c r="C170" s="4">
        <f>-IPMT('Owner Occupier'!$D$41/12,'FHA Amotization'!$A170,360,'Owner Occupier'!$D$40,0,0)</f>
        <v>921.30257103744088</v>
      </c>
      <c r="D170" s="4">
        <f t="shared" si="6"/>
        <v>1856.1630000265536</v>
      </c>
      <c r="E170" s="3">
        <f t="shared" si="7"/>
        <v>259197.63021687645</v>
      </c>
      <c r="F170" s="4">
        <f>('Owner Occupier'!$H$24-'Owner Occupier'!$D$52)/('Owner Occupier'!$D$56-'Owner Occupier'!$D$52)*B170</f>
        <v>449.87846321027047</v>
      </c>
      <c r="G170" s="4">
        <f t="shared" si="8"/>
        <v>56841.063273937776</v>
      </c>
    </row>
    <row r="171" spans="1:7" x14ac:dyDescent="0.25">
      <c r="A171">
        <v>168</v>
      </c>
      <c r="B171" s="4">
        <f>-PPMT('Owner Occupier'!$D$41/12,'FHA Amotization'!$A171,360,'Owner Occupier'!$D$40,0,0)</f>
        <v>938.17139300844917</v>
      </c>
      <c r="C171" s="4">
        <f>-IPMT('Owner Occupier'!$D$41/12,'FHA Amotization'!$A171,360,'Owner Occupier'!$D$40,0,0)</f>
        <v>917.99160701810422</v>
      </c>
      <c r="D171" s="4">
        <f t="shared" si="6"/>
        <v>1856.1630000265534</v>
      </c>
      <c r="E171" s="3">
        <f t="shared" si="7"/>
        <v>258259.45882386802</v>
      </c>
      <c r="F171" s="4">
        <f>('Owner Occupier'!$H$24-'Owner Occupier'!$D$52)/('Owner Occupier'!$D$56-'Owner Occupier'!$D$52)*B171</f>
        <v>451.47178276747343</v>
      </c>
      <c r="G171" s="4">
        <f t="shared" si="8"/>
        <v>57292.535056705252</v>
      </c>
    </row>
    <row r="172" spans="1:7" x14ac:dyDescent="0.25">
      <c r="A172">
        <v>169</v>
      </c>
      <c r="B172" s="4">
        <f>-PPMT('Owner Occupier'!$D$41/12,'FHA Amotization'!$A172,360,'Owner Occupier'!$D$40,0,0)</f>
        <v>941.49408335868759</v>
      </c>
      <c r="C172" s="4">
        <f>-IPMT('Owner Occupier'!$D$41/12,'FHA Amotization'!$A172,360,'Owner Occupier'!$D$40,0,0)</f>
        <v>914.66891666786614</v>
      </c>
      <c r="D172" s="4">
        <f t="shared" si="6"/>
        <v>1856.1630000265536</v>
      </c>
      <c r="E172" s="3">
        <f t="shared" si="7"/>
        <v>257317.96474050934</v>
      </c>
      <c r="F172" s="4">
        <f>('Owner Occupier'!$H$24-'Owner Occupier'!$D$52)/('Owner Occupier'!$D$56-'Owner Occupier'!$D$52)*B172</f>
        <v>453.07074533144163</v>
      </c>
      <c r="G172" s="4">
        <f t="shared" si="8"/>
        <v>57745.605802036691</v>
      </c>
    </row>
    <row r="173" spans="1:7" x14ac:dyDescent="0.25">
      <c r="A173">
        <v>170</v>
      </c>
      <c r="B173" s="4">
        <f>-PPMT('Owner Occupier'!$D$41/12,'FHA Amotization'!$A173,360,'Owner Occupier'!$D$40,0,0)</f>
        <v>944.82854157058284</v>
      </c>
      <c r="C173" s="4">
        <f>-IPMT('Owner Occupier'!$D$41/12,'FHA Amotization'!$A173,360,'Owner Occupier'!$D$40,0,0)</f>
        <v>911.33445845597066</v>
      </c>
      <c r="D173" s="4">
        <f t="shared" si="6"/>
        <v>1856.1630000265536</v>
      </c>
      <c r="E173" s="3">
        <f t="shared" si="7"/>
        <v>256373.13619893877</v>
      </c>
      <c r="F173" s="4">
        <f>('Owner Occupier'!$H$24-'Owner Occupier'!$D$52)/('Owner Occupier'!$D$56-'Owner Occupier'!$D$52)*B173</f>
        <v>454.67537088782382</v>
      </c>
      <c r="G173" s="4">
        <f t="shared" si="8"/>
        <v>58200.281172924515</v>
      </c>
    </row>
    <row r="174" spans="1:7" x14ac:dyDescent="0.25">
      <c r="A174">
        <v>171</v>
      </c>
      <c r="B174" s="4">
        <f>-PPMT('Owner Occupier'!$D$41/12,'FHA Amotization'!$A174,360,'Owner Occupier'!$D$40,0,0)</f>
        <v>948.17480932197861</v>
      </c>
      <c r="C174" s="4">
        <f>-IPMT('Owner Occupier'!$D$41/12,'FHA Amotization'!$A174,360,'Owner Occupier'!$D$40,0,0)</f>
        <v>907.988190704575</v>
      </c>
      <c r="D174" s="4">
        <f t="shared" si="6"/>
        <v>1856.1630000265536</v>
      </c>
      <c r="E174" s="3">
        <f t="shared" si="7"/>
        <v>255424.9613896168</v>
      </c>
      <c r="F174" s="4">
        <f>('Owner Occupier'!$H$24-'Owner Occupier'!$D$52)/('Owner Occupier'!$D$56-'Owner Occupier'!$D$52)*B174</f>
        <v>456.28567949305148</v>
      </c>
      <c r="G174" s="4">
        <f t="shared" si="8"/>
        <v>58656.566852417563</v>
      </c>
    </row>
    <row r="175" spans="1:7" x14ac:dyDescent="0.25">
      <c r="A175">
        <v>172</v>
      </c>
      <c r="B175" s="4">
        <f>-PPMT('Owner Occupier'!$D$41/12,'FHA Amotization'!$A175,360,'Owner Occupier'!$D$40,0,0)</f>
        <v>951.5329284383273</v>
      </c>
      <c r="C175" s="4">
        <f>-IPMT('Owner Occupier'!$D$41/12,'FHA Amotization'!$A175,360,'Owner Occupier'!$D$40,0,0)</f>
        <v>904.63007158822631</v>
      </c>
      <c r="D175" s="4">
        <f t="shared" si="6"/>
        <v>1856.1630000265536</v>
      </c>
      <c r="E175" s="3">
        <f t="shared" si="7"/>
        <v>254473.42846117847</v>
      </c>
      <c r="F175" s="4">
        <f>('Owner Occupier'!$H$24-'Owner Occupier'!$D$52)/('Owner Occupier'!$D$56-'Owner Occupier'!$D$52)*B175</f>
        <v>457.90169127458938</v>
      </c>
      <c r="G175" s="4">
        <f t="shared" si="8"/>
        <v>59114.46854369215</v>
      </c>
    </row>
    <row r="176" spans="1:7" x14ac:dyDescent="0.25">
      <c r="A176">
        <v>173</v>
      </c>
      <c r="B176" s="4">
        <f>-PPMT('Owner Occupier'!$D$41/12,'FHA Amotization'!$A176,360,'Owner Occupier'!$D$40,0,0)</f>
        <v>954.9029408932131</v>
      </c>
      <c r="C176" s="4">
        <f>-IPMT('Owner Occupier'!$D$41/12,'FHA Amotization'!$A176,360,'Owner Occupier'!$D$40,0,0)</f>
        <v>901.26005913334052</v>
      </c>
      <c r="D176" s="4">
        <f t="shared" si="6"/>
        <v>1856.1630000265536</v>
      </c>
      <c r="E176" s="3">
        <f t="shared" si="7"/>
        <v>253518.52552028524</v>
      </c>
      <c r="F176" s="4">
        <f>('Owner Occupier'!$H$24-'Owner Occupier'!$D$52)/('Owner Occupier'!$D$56-'Owner Occupier'!$D$52)*B176</f>
        <v>459.52342643118692</v>
      </c>
      <c r="G176" s="4">
        <f t="shared" si="8"/>
        <v>59573.991970123338</v>
      </c>
    </row>
    <row r="177" spans="1:7" x14ac:dyDescent="0.25">
      <c r="A177">
        <v>174</v>
      </c>
      <c r="B177" s="4">
        <f>-PPMT('Owner Occupier'!$D$41/12,'FHA Amotization'!$A177,360,'Owner Occupier'!$D$40,0,0)</f>
        <v>958.28488880887653</v>
      </c>
      <c r="C177" s="4">
        <f>-IPMT('Owner Occupier'!$D$41/12,'FHA Amotization'!$A177,360,'Owner Occupier'!$D$40,0,0)</f>
        <v>897.87811121767709</v>
      </c>
      <c r="D177" s="4">
        <f t="shared" si="6"/>
        <v>1856.1630000265536</v>
      </c>
      <c r="E177" s="3">
        <f t="shared" si="7"/>
        <v>252560.24063147636</v>
      </c>
      <c r="F177" s="4">
        <f>('Owner Occupier'!$H$24-'Owner Occupier'!$D$52)/('Owner Occupier'!$D$56-'Owner Occupier'!$D$52)*B177</f>
        <v>461.15090523313069</v>
      </c>
      <c r="G177" s="4">
        <f t="shared" si="8"/>
        <v>60035.142875356469</v>
      </c>
    </row>
    <row r="178" spans="1:7" x14ac:dyDescent="0.25">
      <c r="A178">
        <v>175</v>
      </c>
      <c r="B178" s="4">
        <f>-PPMT('Owner Occupier'!$D$41/12,'FHA Amotization'!$A178,360,'Owner Occupier'!$D$40,0,0)</f>
        <v>961.67881445674141</v>
      </c>
      <c r="C178" s="4">
        <f>-IPMT('Owner Occupier'!$D$41/12,'FHA Amotization'!$A178,360,'Owner Occupier'!$D$40,0,0)</f>
        <v>894.48418556981255</v>
      </c>
      <c r="D178" s="4">
        <f t="shared" si="6"/>
        <v>1856.1630000265541</v>
      </c>
      <c r="E178" s="3">
        <f t="shared" si="7"/>
        <v>251598.56181701962</v>
      </c>
      <c r="F178" s="4">
        <f>('Owner Occupier'!$H$24-'Owner Occupier'!$D$52)/('Owner Occupier'!$D$56-'Owner Occupier'!$D$52)*B178</f>
        <v>462.78414802249807</v>
      </c>
      <c r="G178" s="4">
        <f t="shared" si="8"/>
        <v>60497.927023378965</v>
      </c>
    </row>
    <row r="179" spans="1:7" x14ac:dyDescent="0.25">
      <c r="A179">
        <v>176</v>
      </c>
      <c r="B179" s="4">
        <f>-PPMT('Owner Occupier'!$D$41/12,'FHA Amotization'!$A179,360,'Owner Occupier'!$D$40,0,0)</f>
        <v>965.08476025794232</v>
      </c>
      <c r="C179" s="4">
        <f>-IPMT('Owner Occupier'!$D$41/12,'FHA Amotization'!$A179,360,'Owner Occupier'!$D$40,0,0)</f>
        <v>891.0782397686113</v>
      </c>
      <c r="D179" s="4">
        <f t="shared" si="6"/>
        <v>1856.1630000265536</v>
      </c>
      <c r="E179" s="3">
        <f t="shared" si="7"/>
        <v>250633.47705676168</v>
      </c>
      <c r="F179" s="4">
        <f>('Owner Occupier'!$H$24-'Owner Occupier'!$D$52)/('Owner Occupier'!$D$56-'Owner Occupier'!$D$52)*B179</f>
        <v>464.42317521341107</v>
      </c>
      <c r="G179" s="4">
        <f t="shared" si="8"/>
        <v>60962.350198592379</v>
      </c>
    </row>
    <row r="180" spans="1:7" x14ac:dyDescent="0.25">
      <c r="A180">
        <v>177</v>
      </c>
      <c r="B180" s="4">
        <f>-PPMT('Owner Occupier'!$D$41/12,'FHA Amotization'!$A180,360,'Owner Occupier'!$D$40,0,0)</f>
        <v>968.5027687838558</v>
      </c>
      <c r="C180" s="4">
        <f>-IPMT('Owner Occupier'!$D$41/12,'FHA Amotization'!$A180,360,'Owner Occupier'!$D$40,0,0)</f>
        <v>887.66023124269782</v>
      </c>
      <c r="D180" s="4">
        <f t="shared" si="6"/>
        <v>1856.1630000265536</v>
      </c>
      <c r="E180" s="3">
        <f t="shared" si="7"/>
        <v>249664.97428797782</v>
      </c>
      <c r="F180" s="4">
        <f>('Owner Occupier'!$H$24-'Owner Occupier'!$D$52)/('Owner Occupier'!$D$56-'Owner Occupier'!$D$52)*B180</f>
        <v>466.06800729229184</v>
      </c>
      <c r="G180" s="4">
        <f t="shared" si="8"/>
        <v>61428.418205884671</v>
      </c>
    </row>
    <row r="181" spans="1:7" x14ac:dyDescent="0.25">
      <c r="A181">
        <v>178</v>
      </c>
      <c r="B181" s="4">
        <f>-PPMT('Owner Occupier'!$D$41/12,'FHA Amotization'!$A181,360,'Owner Occupier'!$D$40,0,0)</f>
        <v>971.93288275663213</v>
      </c>
      <c r="C181" s="4">
        <f>-IPMT('Owner Occupier'!$D$41/12,'FHA Amotization'!$A181,360,'Owner Occupier'!$D$40,0,0)</f>
        <v>884.23011726992172</v>
      </c>
      <c r="D181" s="4">
        <f t="shared" si="6"/>
        <v>1856.1630000265538</v>
      </c>
      <c r="E181" s="3">
        <f t="shared" si="7"/>
        <v>248693.04140522119</v>
      </c>
      <c r="F181" s="4">
        <f>('Owner Occupier'!$H$24-'Owner Occupier'!$D$52)/('Owner Occupier'!$D$56-'Owner Occupier'!$D$52)*B181</f>
        <v>467.71866481811884</v>
      </c>
      <c r="G181" s="4">
        <f t="shared" si="8"/>
        <v>61896.136870702787</v>
      </c>
    </row>
    <row r="182" spans="1:7" x14ac:dyDescent="0.25">
      <c r="A182">
        <v>179</v>
      </c>
      <c r="B182" s="4">
        <f>-PPMT('Owner Occupier'!$D$41/12,'FHA Amotization'!$A182,360,'Owner Occupier'!$D$40,0,0)</f>
        <v>975.37514504972853</v>
      </c>
      <c r="C182" s="4">
        <f>-IPMT('Owner Occupier'!$D$41/12,'FHA Amotization'!$A182,360,'Owner Occupier'!$D$40,0,0)</f>
        <v>880.7878549768252</v>
      </c>
      <c r="D182" s="4">
        <f t="shared" si="6"/>
        <v>1856.1630000265536</v>
      </c>
      <c r="E182" s="3">
        <f t="shared" si="7"/>
        <v>247717.66626017145</v>
      </c>
      <c r="F182" s="4">
        <f>('Owner Occupier'!$H$24-'Owner Occupier'!$D$52)/('Owner Occupier'!$D$56-'Owner Occupier'!$D$52)*B182</f>
        <v>469.37516842268298</v>
      </c>
      <c r="G182" s="4">
        <f t="shared" si="8"/>
        <v>62365.512039125468</v>
      </c>
    </row>
    <row r="183" spans="1:7" x14ac:dyDescent="0.25">
      <c r="A183">
        <v>180</v>
      </c>
      <c r="B183" s="4">
        <f>-PPMT('Owner Occupier'!$D$41/12,'FHA Amotization'!$A183,360,'Owner Occupier'!$D$40,0,0)</f>
        <v>978.82959868844625</v>
      </c>
      <c r="C183" s="4">
        <f>-IPMT('Owner Occupier'!$D$41/12,'FHA Amotization'!$A183,360,'Owner Occupier'!$D$40,0,0)</f>
        <v>877.33340133810771</v>
      </c>
      <c r="D183" s="4">
        <f t="shared" si="6"/>
        <v>1856.1630000265541</v>
      </c>
      <c r="E183" s="3">
        <f t="shared" si="7"/>
        <v>246738.83666148302</v>
      </c>
      <c r="F183" s="4">
        <f>('Owner Occupier'!$H$24-'Owner Occupier'!$D$52)/('Owner Occupier'!$D$56-'Owner Occupier'!$D$52)*B183</f>
        <v>471.03753881084663</v>
      </c>
      <c r="G183" s="4">
        <f t="shared" si="8"/>
        <v>62836.549577936312</v>
      </c>
    </row>
    <row r="184" spans="1:7" x14ac:dyDescent="0.25">
      <c r="A184">
        <v>181</v>
      </c>
      <c r="B184" s="4">
        <f>-PPMT('Owner Occupier'!$D$41/12,'FHA Amotization'!$A184,360,'Owner Occupier'!$D$40,0,0)</f>
        <v>982.29628685046782</v>
      </c>
      <c r="C184" s="4">
        <f>-IPMT('Owner Occupier'!$D$41/12,'FHA Amotization'!$A184,360,'Owner Occupier'!$D$40,0,0)</f>
        <v>873.86671317608602</v>
      </c>
      <c r="D184" s="4">
        <f t="shared" si="6"/>
        <v>1856.1630000265538</v>
      </c>
      <c r="E184" s="3">
        <f t="shared" si="7"/>
        <v>245756.54037463255</v>
      </c>
      <c r="F184" s="4">
        <f>('Owner Occupier'!$H$24-'Owner Occupier'!$D$52)/('Owner Occupier'!$D$56-'Owner Occupier'!$D$52)*B184</f>
        <v>472.70579676080172</v>
      </c>
      <c r="G184" s="4">
        <f t="shared" si="8"/>
        <v>63309.255374697117</v>
      </c>
    </row>
    <row r="185" spans="1:7" x14ac:dyDescent="0.25">
      <c r="A185">
        <v>182</v>
      </c>
      <c r="B185" s="4">
        <f>-PPMT('Owner Occupier'!$D$41/12,'FHA Amotization'!$A185,360,'Owner Occupier'!$D$40,0,0)</f>
        <v>985.77525286639639</v>
      </c>
      <c r="C185" s="4">
        <f>-IPMT('Owner Occupier'!$D$41/12,'FHA Amotization'!$A185,360,'Owner Occupier'!$D$40,0,0)</f>
        <v>870.38774716015712</v>
      </c>
      <c r="D185" s="4">
        <f t="shared" si="6"/>
        <v>1856.1630000265536</v>
      </c>
      <c r="E185" s="3">
        <f t="shared" si="7"/>
        <v>244770.76512176616</v>
      </c>
      <c r="F185" s="4">
        <f>('Owner Occupier'!$H$24-'Owner Occupier'!$D$52)/('Owner Occupier'!$D$56-'Owner Occupier'!$D$52)*B185</f>
        <v>474.37996312432944</v>
      </c>
      <c r="G185" s="4">
        <f t="shared" si="8"/>
        <v>63783.635337821448</v>
      </c>
    </row>
    <row r="186" spans="1:7" x14ac:dyDescent="0.25">
      <c r="A186">
        <v>183</v>
      </c>
      <c r="B186" s="4">
        <f>-PPMT('Owner Occupier'!$D$41/12,'FHA Amotization'!$A186,360,'Owner Occupier'!$D$40,0,0)</f>
        <v>989.26654022029834</v>
      </c>
      <c r="C186" s="4">
        <f>-IPMT('Owner Occupier'!$D$41/12,'FHA Amotization'!$A186,360,'Owner Occupier'!$D$40,0,0)</f>
        <v>866.89645980625539</v>
      </c>
      <c r="D186" s="4">
        <f t="shared" si="6"/>
        <v>1856.1630000265536</v>
      </c>
      <c r="E186" s="3">
        <f t="shared" si="7"/>
        <v>243781.49858154586</v>
      </c>
      <c r="F186" s="4">
        <f>('Owner Occupier'!$H$24-'Owner Occupier'!$D$52)/('Owner Occupier'!$D$56-'Owner Occupier'!$D$52)*B186</f>
        <v>476.06005882706154</v>
      </c>
      <c r="G186" s="4">
        <f t="shared" si="8"/>
        <v>64259.695396648509</v>
      </c>
    </row>
    <row r="187" spans="1:7" x14ac:dyDescent="0.25">
      <c r="A187">
        <v>184</v>
      </c>
      <c r="B187" s="4">
        <f>-PPMT('Owner Occupier'!$D$41/12,'FHA Amotization'!$A187,360,'Owner Occupier'!$D$40,0,0)</f>
        <v>992.77019255024527</v>
      </c>
      <c r="C187" s="4">
        <f>-IPMT('Owner Occupier'!$D$41/12,'FHA Amotization'!$A187,360,'Owner Occupier'!$D$40,0,0)</f>
        <v>863.39280747630835</v>
      </c>
      <c r="D187" s="4">
        <f t="shared" si="6"/>
        <v>1856.1630000265536</v>
      </c>
      <c r="E187" s="3">
        <f t="shared" si="7"/>
        <v>242788.72838899563</v>
      </c>
      <c r="F187" s="4">
        <f>('Owner Occupier'!$H$24-'Owner Occupier'!$D$52)/('Owner Occupier'!$D$56-'Owner Occupier'!$D$52)*B187</f>
        <v>477.7461048687407</v>
      </c>
      <c r="G187" s="4">
        <f t="shared" si="8"/>
        <v>64737.441501517249</v>
      </c>
    </row>
    <row r="188" spans="1:7" x14ac:dyDescent="0.25">
      <c r="A188">
        <v>185</v>
      </c>
      <c r="B188" s="4">
        <f>-PPMT('Owner Occupier'!$D$41/12,'FHA Amotization'!$A188,360,'Owner Occupier'!$D$40,0,0)</f>
        <v>996.28625364886079</v>
      </c>
      <c r="C188" s="4">
        <f>-IPMT('Owner Occupier'!$D$41/12,'FHA Amotization'!$A188,360,'Owner Occupier'!$D$40,0,0)</f>
        <v>859.87674637769305</v>
      </c>
      <c r="D188" s="4">
        <f t="shared" si="6"/>
        <v>1856.1630000265538</v>
      </c>
      <c r="E188" s="3">
        <f t="shared" si="7"/>
        <v>241792.44213534676</v>
      </c>
      <c r="F188" s="4">
        <f>('Owner Occupier'!$H$24-'Owner Occupier'!$D$52)/('Owner Occupier'!$D$56-'Owner Occupier'!$D$52)*B188</f>
        <v>479.43812232348421</v>
      </c>
      <c r="G188" s="4">
        <f t="shared" si="8"/>
        <v>65216.87962384073</v>
      </c>
    </row>
    <row r="189" spans="1:7" x14ac:dyDescent="0.25">
      <c r="A189">
        <v>186</v>
      </c>
      <c r="B189" s="4">
        <f>-PPMT('Owner Occupier'!$D$41/12,'FHA Amotization'!$A189,360,'Owner Occupier'!$D$40,0,0)</f>
        <v>999.81476746386693</v>
      </c>
      <c r="C189" s="4">
        <f>-IPMT('Owner Occupier'!$D$41/12,'FHA Amotization'!$A189,360,'Owner Occupier'!$D$40,0,0)</f>
        <v>856.3482325626868</v>
      </c>
      <c r="D189" s="4">
        <f t="shared" si="6"/>
        <v>1856.1630000265536</v>
      </c>
      <c r="E189" s="3">
        <f t="shared" si="7"/>
        <v>240792.6273678829</v>
      </c>
      <c r="F189" s="4">
        <f>('Owner Occupier'!$H$24-'Owner Occupier'!$D$52)/('Owner Occupier'!$D$56-'Owner Occupier'!$D$52)*B189</f>
        <v>481.1361323400464</v>
      </c>
      <c r="G189" s="4">
        <f t="shared" si="8"/>
        <v>65698.015756180772</v>
      </c>
    </row>
    <row r="190" spans="1:7" x14ac:dyDescent="0.25">
      <c r="A190">
        <v>187</v>
      </c>
      <c r="B190" s="4">
        <f>-PPMT('Owner Occupier'!$D$41/12,'FHA Amotization'!$A190,360,'Owner Occupier'!$D$40,0,0)</f>
        <v>1003.3557780986349</v>
      </c>
      <c r="C190" s="4">
        <f>-IPMT('Owner Occupier'!$D$41/12,'FHA Amotization'!$A190,360,'Owner Occupier'!$D$40,0,0)</f>
        <v>852.8072219279187</v>
      </c>
      <c r="D190" s="4">
        <f t="shared" si="6"/>
        <v>1856.1630000265536</v>
      </c>
      <c r="E190" s="3">
        <f t="shared" si="7"/>
        <v>239789.27158978427</v>
      </c>
      <c r="F190" s="4">
        <f>('Owner Occupier'!$H$24-'Owner Occupier'!$D$52)/('Owner Occupier'!$D$56-'Owner Occupier'!$D$52)*B190</f>
        <v>482.84015614208414</v>
      </c>
      <c r="G190" s="4">
        <f t="shared" si="8"/>
        <v>66180.855912322862</v>
      </c>
    </row>
    <row r="191" spans="1:7" x14ac:dyDescent="0.25">
      <c r="A191">
        <v>188</v>
      </c>
      <c r="B191" s="4">
        <f>-PPMT('Owner Occupier'!$D$41/12,'FHA Amotization'!$A191,360,'Owner Occupier'!$D$40,0,0)</f>
        <v>1006.9093298127342</v>
      </c>
      <c r="C191" s="4">
        <f>-IPMT('Owner Occupier'!$D$41/12,'FHA Amotization'!$A191,360,'Owner Occupier'!$D$40,0,0)</f>
        <v>849.25367021381942</v>
      </c>
      <c r="D191" s="4">
        <f t="shared" si="6"/>
        <v>1856.1630000265536</v>
      </c>
      <c r="E191" s="3">
        <f t="shared" si="7"/>
        <v>238782.36225997153</v>
      </c>
      <c r="F191" s="4">
        <f>('Owner Occupier'!$H$24-'Owner Occupier'!$D$52)/('Owner Occupier'!$D$56-'Owner Occupier'!$D$52)*B191</f>
        <v>484.55021502842067</v>
      </c>
      <c r="G191" s="4">
        <f t="shared" si="8"/>
        <v>66665.406127351278</v>
      </c>
    </row>
    <row r="192" spans="1:7" x14ac:dyDescent="0.25">
      <c r="A192">
        <v>189</v>
      </c>
      <c r="B192" s="4">
        <f>-PPMT('Owner Occupier'!$D$41/12,'FHA Amotization'!$A192,360,'Owner Occupier'!$D$40,0,0)</f>
        <v>1010.4754670224877</v>
      </c>
      <c r="C192" s="4">
        <f>-IPMT('Owner Occupier'!$D$41/12,'FHA Amotization'!$A192,360,'Owner Occupier'!$D$40,0,0)</f>
        <v>845.68753300406604</v>
      </c>
      <c r="D192" s="4">
        <f t="shared" si="6"/>
        <v>1856.1630000265536</v>
      </c>
      <c r="E192" s="3">
        <f t="shared" si="7"/>
        <v>237771.88679294905</v>
      </c>
      <c r="F192" s="4">
        <f>('Owner Occupier'!$H$24-'Owner Occupier'!$D$52)/('Owner Occupier'!$D$56-'Owner Occupier'!$D$52)*B192</f>
        <v>486.266330373313</v>
      </c>
      <c r="G192" s="4">
        <f t="shared" si="8"/>
        <v>67151.672457724591</v>
      </c>
    </row>
    <row r="193" spans="1:7" x14ac:dyDescent="0.25">
      <c r="A193">
        <v>190</v>
      </c>
      <c r="B193" s="4">
        <f>-PPMT('Owner Occupier'!$D$41/12,'FHA Amotization'!$A193,360,'Owner Occupier'!$D$40,0,0)</f>
        <v>1014.0542343015255</v>
      </c>
      <c r="C193" s="4">
        <f>-IPMT('Owner Occupier'!$D$41/12,'FHA Amotization'!$A193,360,'Owner Occupier'!$D$40,0,0)</f>
        <v>842.10876572502809</v>
      </c>
      <c r="D193" s="4">
        <f t="shared" si="6"/>
        <v>1856.1630000265536</v>
      </c>
      <c r="E193" s="3">
        <f t="shared" si="7"/>
        <v>236757.83255864753</v>
      </c>
      <c r="F193" s="4">
        <f>('Owner Occupier'!$H$24-'Owner Occupier'!$D$52)/('Owner Occupier'!$D$56-'Owner Occupier'!$D$52)*B193</f>
        <v>487.98852362671846</v>
      </c>
      <c r="G193" s="4">
        <f t="shared" si="8"/>
        <v>67639.660981351306</v>
      </c>
    </row>
    <row r="194" spans="1:7" x14ac:dyDescent="0.25">
      <c r="A194">
        <v>191</v>
      </c>
      <c r="B194" s="4">
        <f>-PPMT('Owner Occupier'!$D$41/12,'FHA Amotization'!$A194,360,'Owner Occupier'!$D$40,0,0)</f>
        <v>1017.6456763813435</v>
      </c>
      <c r="C194" s="4">
        <f>-IPMT('Owner Occupier'!$D$41/12,'FHA Amotization'!$A194,360,'Owner Occupier'!$D$40,0,0)</f>
        <v>838.51732364521013</v>
      </c>
      <c r="D194" s="4">
        <f t="shared" si="6"/>
        <v>1856.1630000265536</v>
      </c>
      <c r="E194" s="3">
        <f t="shared" si="7"/>
        <v>235740.18688226619</v>
      </c>
      <c r="F194" s="4">
        <f>('Owner Occupier'!$H$24-'Owner Occupier'!$D$52)/('Owner Occupier'!$D$56-'Owner Occupier'!$D$52)*B194</f>
        <v>489.71681631456312</v>
      </c>
      <c r="G194" s="4">
        <f t="shared" si="8"/>
        <v>68129.377797665875</v>
      </c>
    </row>
    <row r="195" spans="1:7" x14ac:dyDescent="0.25">
      <c r="A195">
        <v>192</v>
      </c>
      <c r="B195" s="4">
        <f>-PPMT('Owner Occupier'!$D$41/12,'FHA Amotization'!$A195,360,'Owner Occupier'!$D$40,0,0)</f>
        <v>1021.2498381518609</v>
      </c>
      <c r="C195" s="4">
        <f>-IPMT('Owner Occupier'!$D$41/12,'FHA Amotization'!$A195,360,'Owner Occupier'!$D$40,0,0)</f>
        <v>834.91316187469295</v>
      </c>
      <c r="D195" s="4">
        <f t="shared" si="6"/>
        <v>1856.1630000265538</v>
      </c>
      <c r="E195" s="3">
        <f t="shared" si="7"/>
        <v>234718.93704411434</v>
      </c>
      <c r="F195" s="4">
        <f>('Owner Occupier'!$H$24-'Owner Occupier'!$D$52)/('Owner Occupier'!$D$56-'Owner Occupier'!$D$52)*B195</f>
        <v>491.45123003901057</v>
      </c>
      <c r="G195" s="4">
        <f t="shared" si="8"/>
        <v>68620.82902770488</v>
      </c>
    </row>
    <row r="196" spans="1:7" x14ac:dyDescent="0.25">
      <c r="A196">
        <v>193</v>
      </c>
      <c r="B196" s="4">
        <f>-PPMT('Owner Occupier'!$D$41/12,'FHA Amotization'!$A196,360,'Owner Occupier'!$D$40,0,0)</f>
        <v>1024.866764661982</v>
      </c>
      <c r="C196" s="4">
        <f>-IPMT('Owner Occupier'!$D$41/12,'FHA Amotization'!$A196,360,'Owner Occupier'!$D$40,0,0)</f>
        <v>831.29623536457154</v>
      </c>
      <c r="D196" s="4">
        <f t="shared" si="6"/>
        <v>1856.1630000265536</v>
      </c>
      <c r="E196" s="3">
        <f t="shared" si="7"/>
        <v>233694.07027945237</v>
      </c>
      <c r="F196" s="4">
        <f>('Owner Occupier'!$H$24-'Owner Occupier'!$D$52)/('Owner Occupier'!$D$56-'Owner Occupier'!$D$52)*B196</f>
        <v>493.19178647873201</v>
      </c>
      <c r="G196" s="4">
        <f t="shared" si="8"/>
        <v>69114.020814183619</v>
      </c>
    </row>
    <row r="197" spans="1:7" x14ac:dyDescent="0.25">
      <c r="A197">
        <v>194</v>
      </c>
      <c r="B197" s="4">
        <f>-PPMT('Owner Occupier'!$D$41/12,'FHA Amotization'!$A197,360,'Owner Occupier'!$D$40,0,0)</f>
        <v>1028.4965011201598</v>
      </c>
      <c r="C197" s="4">
        <f>-IPMT('Owner Occupier'!$D$41/12,'FHA Amotization'!$A197,360,'Owner Occupier'!$D$40,0,0)</f>
        <v>827.66649890639394</v>
      </c>
      <c r="D197" s="4">
        <f t="shared" ref="D197:D260" si="9">B197+C197</f>
        <v>1856.1630000265536</v>
      </c>
      <c r="E197" s="3">
        <f t="shared" si="7"/>
        <v>232665.57377833221</v>
      </c>
      <c r="F197" s="4">
        <f>('Owner Occupier'!$H$24-'Owner Occupier'!$D$52)/('Owner Occupier'!$D$56-'Owner Occupier'!$D$52)*B197</f>
        <v>494.93850738917752</v>
      </c>
      <c r="G197" s="4">
        <f t="shared" si="8"/>
        <v>69608.959321572795</v>
      </c>
    </row>
    <row r="198" spans="1:7" x14ac:dyDescent="0.25">
      <c r="A198">
        <v>195</v>
      </c>
      <c r="B198" s="4">
        <f>-PPMT('Owner Occupier'!$D$41/12,'FHA Amotization'!$A198,360,'Owner Occupier'!$D$40,0,0)</f>
        <v>1032.1390928949604</v>
      </c>
      <c r="C198" s="4">
        <f>-IPMT('Owner Occupier'!$D$41/12,'FHA Amotization'!$A198,360,'Owner Occupier'!$D$40,0,0)</f>
        <v>824.02390713159321</v>
      </c>
      <c r="D198" s="4">
        <f t="shared" si="9"/>
        <v>1856.1630000265536</v>
      </c>
      <c r="E198" s="3">
        <f t="shared" ref="E198:E261" si="10">E197-B198</f>
        <v>231633.43468543724</v>
      </c>
      <c r="F198" s="4">
        <f>('Owner Occupier'!$H$24-'Owner Occupier'!$D$52)/('Owner Occupier'!$D$56-'Owner Occupier'!$D$52)*B198</f>
        <v>496.69141460284754</v>
      </c>
      <c r="G198" s="4">
        <f t="shared" ref="G198:G261" si="11">F198+G197</f>
        <v>70105.650736175638</v>
      </c>
    </row>
    <row r="199" spans="1:7" x14ac:dyDescent="0.25">
      <c r="A199">
        <v>196</v>
      </c>
      <c r="B199" s="4">
        <f>-PPMT('Owner Occupier'!$D$41/12,'FHA Amotization'!$A199,360,'Owner Occupier'!$D$40,0,0)</f>
        <v>1035.7945855156302</v>
      </c>
      <c r="C199" s="4">
        <f>-IPMT('Owner Occupier'!$D$41/12,'FHA Amotization'!$A199,360,'Owner Occupier'!$D$40,0,0)</f>
        <v>820.36841451092369</v>
      </c>
      <c r="D199" s="4">
        <f t="shared" si="9"/>
        <v>1856.1630000265538</v>
      </c>
      <c r="E199" s="3">
        <f t="shared" si="10"/>
        <v>230597.64009992161</v>
      </c>
      <c r="F199" s="4">
        <f>('Owner Occupier'!$H$24-'Owner Occupier'!$D$52)/('Owner Occupier'!$D$56-'Owner Occupier'!$D$52)*B199</f>
        <v>498.45053002956604</v>
      </c>
      <c r="G199" s="4">
        <f t="shared" si="11"/>
        <v>70604.101266205209</v>
      </c>
    </row>
    <row r="200" spans="1:7" x14ac:dyDescent="0.25">
      <c r="A200">
        <v>197</v>
      </c>
      <c r="B200" s="4">
        <f>-PPMT('Owner Occupier'!$D$41/12,'FHA Amotization'!$A200,360,'Owner Occupier'!$D$40,0,0)</f>
        <v>1039.4630246726647</v>
      </c>
      <c r="C200" s="4">
        <f>-IPMT('Owner Occupier'!$D$41/12,'FHA Amotization'!$A200,360,'Owner Occupier'!$D$40,0,0)</f>
        <v>816.69997535388916</v>
      </c>
      <c r="D200" s="4">
        <f t="shared" si="9"/>
        <v>1856.1630000265538</v>
      </c>
      <c r="E200" s="3">
        <f t="shared" si="10"/>
        <v>229558.17707524894</v>
      </c>
      <c r="F200" s="4">
        <f>('Owner Occupier'!$H$24-'Owner Occupier'!$D$52)/('Owner Occupier'!$D$56-'Owner Occupier'!$D$52)*B200</f>
        <v>500.21587565675406</v>
      </c>
      <c r="G200" s="4">
        <f t="shared" si="11"/>
        <v>71104.31714186196</v>
      </c>
    </row>
    <row r="201" spans="1:7" x14ac:dyDescent="0.25">
      <c r="A201">
        <v>198</v>
      </c>
      <c r="B201" s="4">
        <f>-PPMT('Owner Occupier'!$D$41/12,'FHA Amotization'!$A201,360,'Owner Occupier'!$D$40,0,0)</f>
        <v>1043.1444562183801</v>
      </c>
      <c r="C201" s="4">
        <f>-IPMT('Owner Occupier'!$D$41/12,'FHA Amotization'!$A201,360,'Owner Occupier'!$D$40,0,0)</f>
        <v>813.01854380817349</v>
      </c>
      <c r="D201" s="4">
        <f t="shared" si="9"/>
        <v>1856.1630000265536</v>
      </c>
      <c r="E201" s="3">
        <f t="shared" si="10"/>
        <v>228515.03261903056</v>
      </c>
      <c r="F201" s="4">
        <f>('Owner Occupier'!$H$24-'Owner Occupier'!$D$52)/('Owner Occupier'!$D$56-'Owner Occupier'!$D$52)*B201</f>
        <v>501.98747354970493</v>
      </c>
      <c r="G201" s="4">
        <f t="shared" si="11"/>
        <v>71606.30461541166</v>
      </c>
    </row>
    <row r="202" spans="1:7" x14ac:dyDescent="0.25">
      <c r="A202">
        <v>199</v>
      </c>
      <c r="B202" s="4">
        <f>-PPMT('Owner Occupier'!$D$41/12,'FHA Amotization'!$A202,360,'Owner Occupier'!$D$40,0,0)</f>
        <v>1046.838926167487</v>
      </c>
      <c r="C202" s="4">
        <f>-IPMT('Owner Occupier'!$D$41/12,'FHA Amotization'!$A202,360,'Owner Occupier'!$D$40,0,0)</f>
        <v>809.32407385906652</v>
      </c>
      <c r="D202" s="4">
        <f t="shared" si="9"/>
        <v>1856.1630000265536</v>
      </c>
      <c r="E202" s="3">
        <f t="shared" si="10"/>
        <v>227468.19369286307</v>
      </c>
      <c r="F202" s="4">
        <f>('Owner Occupier'!$H$24-'Owner Occupier'!$D$52)/('Owner Occupier'!$D$56-'Owner Occupier'!$D$52)*B202</f>
        <v>503.76534585186022</v>
      </c>
      <c r="G202" s="4">
        <f t="shared" si="11"/>
        <v>72110.069961263522</v>
      </c>
    </row>
    <row r="203" spans="1:7" x14ac:dyDescent="0.25">
      <c r="A203">
        <v>200</v>
      </c>
      <c r="B203" s="4">
        <f>-PPMT('Owner Occupier'!$D$41/12,'FHA Amotization'!$A203,360,'Owner Occupier'!$D$40,0,0)</f>
        <v>1050.5464806976636</v>
      </c>
      <c r="C203" s="4">
        <f>-IPMT('Owner Occupier'!$D$41/12,'FHA Amotization'!$A203,360,'Owner Occupier'!$D$40,0,0)</f>
        <v>805.61651932889015</v>
      </c>
      <c r="D203" s="4">
        <f t="shared" si="9"/>
        <v>1856.1630000265536</v>
      </c>
      <c r="E203" s="3">
        <f t="shared" si="10"/>
        <v>226417.64721216541</v>
      </c>
      <c r="F203" s="4">
        <f>('Owner Occupier'!$H$24-'Owner Occupier'!$D$52)/('Owner Occupier'!$D$56-'Owner Occupier'!$D$52)*B203</f>
        <v>505.54951478508559</v>
      </c>
      <c r="G203" s="4">
        <f t="shared" si="11"/>
        <v>72615.619476048611</v>
      </c>
    </row>
    <row r="204" spans="1:7" x14ac:dyDescent="0.25">
      <c r="A204">
        <v>201</v>
      </c>
      <c r="B204" s="4">
        <f>-PPMT('Owner Occupier'!$D$41/12,'FHA Amotization'!$A204,360,'Owner Occupier'!$D$40,0,0)</f>
        <v>1054.2671661501345</v>
      </c>
      <c r="C204" s="4">
        <f>-IPMT('Owner Occupier'!$D$41/12,'FHA Amotization'!$A204,360,'Owner Occupier'!$D$40,0,0)</f>
        <v>801.89583387641937</v>
      </c>
      <c r="D204" s="4">
        <f t="shared" si="9"/>
        <v>1856.1630000265538</v>
      </c>
      <c r="E204" s="3">
        <f t="shared" si="10"/>
        <v>225363.38004601529</v>
      </c>
      <c r="F204" s="4">
        <f>('Owner Occupier'!$H$24-'Owner Occupier'!$D$52)/('Owner Occupier'!$D$56-'Owner Occupier'!$D$52)*B204</f>
        <v>507.34000264994944</v>
      </c>
      <c r="G204" s="4">
        <f t="shared" si="11"/>
        <v>73122.959478698554</v>
      </c>
    </row>
    <row r="205" spans="1:7" x14ac:dyDescent="0.25">
      <c r="A205">
        <v>202</v>
      </c>
      <c r="B205" s="4">
        <f>-PPMT('Owner Occupier'!$D$41/12,'FHA Amotization'!$A205,360,'Owner Occupier'!$D$40,0,0)</f>
        <v>1058.0010290302494</v>
      </c>
      <c r="C205" s="4">
        <f>-IPMT('Owner Occupier'!$D$41/12,'FHA Amotization'!$A205,360,'Owner Occupier'!$D$40,0,0)</f>
        <v>798.16197099630415</v>
      </c>
      <c r="D205" s="4">
        <f t="shared" si="9"/>
        <v>1856.1630000265536</v>
      </c>
      <c r="E205" s="3">
        <f t="shared" si="10"/>
        <v>224305.37901698504</v>
      </c>
      <c r="F205" s="4">
        <f>('Owner Occupier'!$H$24-'Owner Occupier'!$D$52)/('Owner Occupier'!$D$56-'Owner Occupier'!$D$52)*B205</f>
        <v>509.13683182600124</v>
      </c>
      <c r="G205" s="4">
        <f t="shared" si="11"/>
        <v>73632.096310524561</v>
      </c>
    </row>
    <row r="206" spans="1:7" x14ac:dyDescent="0.25">
      <c r="A206">
        <v>203</v>
      </c>
      <c r="B206" s="4">
        <f>-PPMT('Owner Occupier'!$D$41/12,'FHA Amotization'!$A206,360,'Owner Occupier'!$D$40,0,0)</f>
        <v>1061.7481160080652</v>
      </c>
      <c r="C206" s="4">
        <f>-IPMT('Owner Occupier'!$D$41/12,'FHA Amotization'!$A206,360,'Owner Occupier'!$D$40,0,0)</f>
        <v>794.41488401848869</v>
      </c>
      <c r="D206" s="4">
        <f t="shared" si="9"/>
        <v>1856.1630000265538</v>
      </c>
      <c r="E206" s="3">
        <f t="shared" si="10"/>
        <v>223243.63090097698</v>
      </c>
      <c r="F206" s="4">
        <f>('Owner Occupier'!$H$24-'Owner Occupier'!$D$52)/('Owner Occupier'!$D$56-'Owner Occupier'!$D$52)*B206</f>
        <v>510.9400247720518</v>
      </c>
      <c r="G206" s="4">
        <f t="shared" si="11"/>
        <v>74143.036335296609</v>
      </c>
    </row>
    <row r="207" spans="1:7" x14ac:dyDescent="0.25">
      <c r="A207">
        <v>204</v>
      </c>
      <c r="B207" s="4">
        <f>-PPMT('Owner Occupier'!$D$41/12,'FHA Amotization'!$A207,360,'Owner Occupier'!$D$40,0,0)</f>
        <v>1065.5084739189269</v>
      </c>
      <c r="C207" s="4">
        <f>-IPMT('Owner Occupier'!$D$41/12,'FHA Amotization'!$A207,360,'Owner Occupier'!$D$40,0,0)</f>
        <v>790.65452610762679</v>
      </c>
      <c r="D207" s="4">
        <f t="shared" si="9"/>
        <v>1856.1630000265536</v>
      </c>
      <c r="E207" s="3">
        <f t="shared" si="10"/>
        <v>222178.12242705806</v>
      </c>
      <c r="F207" s="4">
        <f>('Owner Occupier'!$H$24-'Owner Occupier'!$D$52)/('Owner Occupier'!$D$56-'Owner Occupier'!$D$52)*B207</f>
        <v>512.74960402645274</v>
      </c>
      <c r="G207" s="4">
        <f t="shared" si="11"/>
        <v>74655.785939323061</v>
      </c>
    </row>
    <row r="208" spans="1:7" x14ac:dyDescent="0.25">
      <c r="A208">
        <v>205</v>
      </c>
      <c r="B208" s="4">
        <f>-PPMT('Owner Occupier'!$D$41/12,'FHA Amotization'!$A208,360,'Owner Occupier'!$D$40,0,0)</f>
        <v>1069.2821497640566</v>
      </c>
      <c r="C208" s="4">
        <f>-IPMT('Owner Occupier'!$D$41/12,'FHA Amotization'!$A208,360,'Owner Occupier'!$D$40,0,0)</f>
        <v>786.88085026249735</v>
      </c>
      <c r="D208" s="4">
        <f t="shared" si="9"/>
        <v>1856.1630000265541</v>
      </c>
      <c r="E208" s="3">
        <f t="shared" si="10"/>
        <v>221108.84027729399</v>
      </c>
      <c r="F208" s="4">
        <f>('Owner Occupier'!$H$24-'Owner Occupier'!$D$52)/('Owner Occupier'!$D$56-'Owner Occupier'!$D$52)*B208</f>
        <v>514.56559220737984</v>
      </c>
      <c r="G208" s="4">
        <f t="shared" si="11"/>
        <v>75170.351531530439</v>
      </c>
    </row>
    <row r="209" spans="1:7" x14ac:dyDescent="0.25">
      <c r="A209">
        <v>206</v>
      </c>
      <c r="B209" s="4">
        <f>-PPMT('Owner Occupier'!$D$41/12,'FHA Amotization'!$A209,360,'Owner Occupier'!$D$40,0,0)</f>
        <v>1073.0691907111375</v>
      </c>
      <c r="C209" s="4">
        <f>-IPMT('Owner Occupier'!$D$41/12,'FHA Amotization'!$A209,360,'Owner Occupier'!$D$40,0,0)</f>
        <v>783.09380931541625</v>
      </c>
      <c r="D209" s="4">
        <f t="shared" si="9"/>
        <v>1856.1630000265536</v>
      </c>
      <c r="E209" s="3">
        <f t="shared" si="10"/>
        <v>220035.77108658286</v>
      </c>
      <c r="F209" s="4">
        <f>('Owner Occupier'!$H$24-'Owner Occupier'!$D$52)/('Owner Occupier'!$D$56-'Owner Occupier'!$D$52)*B209</f>
        <v>516.38801201311423</v>
      </c>
      <c r="G209" s="4">
        <f t="shared" si="11"/>
        <v>75686.739543543546</v>
      </c>
    </row>
    <row r="210" spans="1:7" x14ac:dyDescent="0.25">
      <c r="A210">
        <v>207</v>
      </c>
      <c r="B210" s="4">
        <f>-PPMT('Owner Occupier'!$D$41/12,'FHA Amotization'!$A210,360,'Owner Occupier'!$D$40,0,0)</f>
        <v>1076.8696440949061</v>
      </c>
      <c r="C210" s="4">
        <f>-IPMT('Owner Occupier'!$D$41/12,'FHA Amotization'!$A210,360,'Owner Occupier'!$D$40,0,0)</f>
        <v>779.29335593164762</v>
      </c>
      <c r="D210" s="4">
        <f t="shared" si="9"/>
        <v>1856.1630000265536</v>
      </c>
      <c r="E210" s="3">
        <f t="shared" si="10"/>
        <v>218958.90144248796</v>
      </c>
      <c r="F210" s="4">
        <f>('Owner Occupier'!$H$24-'Owner Occupier'!$D$52)/('Owner Occupier'!$D$56-'Owner Occupier'!$D$52)*B210</f>
        <v>518.21688622232739</v>
      </c>
      <c r="G210" s="4">
        <f t="shared" si="11"/>
        <v>76204.95642976588</v>
      </c>
    </row>
    <row r="211" spans="1:7" x14ac:dyDescent="0.25">
      <c r="A211">
        <v>208</v>
      </c>
      <c r="B211" s="4">
        <f>-PPMT('Owner Occupier'!$D$41/12,'FHA Amotization'!$A211,360,'Owner Occupier'!$D$40,0,0)</f>
        <v>1080.6835574177421</v>
      </c>
      <c r="C211" s="4">
        <f>-IPMT('Owner Occupier'!$D$41/12,'FHA Amotization'!$A211,360,'Owner Occupier'!$D$40,0,0)</f>
        <v>775.47944260881161</v>
      </c>
      <c r="D211" s="4">
        <f t="shared" si="9"/>
        <v>1856.1630000265536</v>
      </c>
      <c r="E211" s="3">
        <f t="shared" si="10"/>
        <v>217878.21788507022</v>
      </c>
      <c r="F211" s="4">
        <f>('Owner Occupier'!$H$24-'Owner Occupier'!$D$52)/('Owner Occupier'!$D$56-'Owner Occupier'!$D$52)*B211</f>
        <v>520.05223769436475</v>
      </c>
      <c r="G211" s="4">
        <f t="shared" si="11"/>
        <v>76725.00866746025</v>
      </c>
    </row>
    <row r="212" spans="1:7" x14ac:dyDescent="0.25">
      <c r="A212">
        <v>209</v>
      </c>
      <c r="B212" s="4">
        <f>-PPMT('Owner Occupier'!$D$41/12,'FHA Amotization'!$A212,360,'Owner Occupier'!$D$40,0,0)</f>
        <v>1084.5109783502633</v>
      </c>
      <c r="C212" s="4">
        <f>-IPMT('Owner Occupier'!$D$41/12,'FHA Amotization'!$A212,360,'Owner Occupier'!$D$40,0,0)</f>
        <v>771.65202167629036</v>
      </c>
      <c r="D212" s="4">
        <f t="shared" si="9"/>
        <v>1856.1630000265536</v>
      </c>
      <c r="E212" s="3">
        <f t="shared" si="10"/>
        <v>216793.70690671995</v>
      </c>
      <c r="F212" s="4">
        <f>('Owner Occupier'!$H$24-'Owner Occupier'!$D$52)/('Owner Occupier'!$D$56-'Owner Occupier'!$D$52)*B212</f>
        <v>521.89408936953225</v>
      </c>
      <c r="G212" s="4">
        <f t="shared" si="11"/>
        <v>77246.902756829775</v>
      </c>
    </row>
    <row r="213" spans="1:7" x14ac:dyDescent="0.25">
      <c r="A213">
        <v>210</v>
      </c>
      <c r="B213" s="4">
        <f>-PPMT('Owner Occupier'!$D$41/12,'FHA Amotization'!$A213,360,'Owner Occupier'!$D$40,0,0)</f>
        <v>1088.3519547319204</v>
      </c>
      <c r="C213" s="4">
        <f>-IPMT('Owner Occupier'!$D$41/12,'FHA Amotization'!$A213,360,'Owner Occupier'!$D$40,0,0)</f>
        <v>767.81104529463323</v>
      </c>
      <c r="D213" s="4">
        <f t="shared" si="9"/>
        <v>1856.1630000265536</v>
      </c>
      <c r="E213" s="3">
        <f t="shared" si="10"/>
        <v>215705.35495198803</v>
      </c>
      <c r="F213" s="4">
        <f>('Owner Occupier'!$H$24-'Owner Occupier'!$D$52)/('Owner Occupier'!$D$56-'Owner Occupier'!$D$52)*B213</f>
        <v>523.74246426938271</v>
      </c>
      <c r="G213" s="4">
        <f t="shared" si="11"/>
        <v>77770.645221099156</v>
      </c>
    </row>
    <row r="214" spans="1:7" x14ac:dyDescent="0.25">
      <c r="A214">
        <v>211</v>
      </c>
      <c r="B214" s="4">
        <f>-PPMT('Owner Occupier'!$D$41/12,'FHA Amotization'!$A214,360,'Owner Occupier'!$D$40,0,0)</f>
        <v>1092.206534571596</v>
      </c>
      <c r="C214" s="4">
        <f>-IPMT('Owner Occupier'!$D$41/12,'FHA Amotization'!$A214,360,'Owner Occupier'!$D$40,0,0)</f>
        <v>763.95646545495754</v>
      </c>
      <c r="D214" s="4">
        <f t="shared" si="9"/>
        <v>1856.1630000265536</v>
      </c>
      <c r="E214" s="3">
        <f t="shared" si="10"/>
        <v>214613.14841741644</v>
      </c>
      <c r="F214" s="4">
        <f>('Owner Occupier'!$H$24-'Owner Occupier'!$D$52)/('Owner Occupier'!$D$56-'Owner Occupier'!$D$52)*B214</f>
        <v>525.59738549700342</v>
      </c>
      <c r="G214" s="4">
        <f t="shared" si="11"/>
        <v>78296.242606596163</v>
      </c>
    </row>
    <row r="215" spans="1:7" x14ac:dyDescent="0.25">
      <c r="A215">
        <v>212</v>
      </c>
      <c r="B215" s="4">
        <f>-PPMT('Owner Occupier'!$D$41/12,'FHA Amotization'!$A215,360,'Owner Occupier'!$D$40,0,0)</f>
        <v>1096.0747660482041</v>
      </c>
      <c r="C215" s="4">
        <f>-IPMT('Owner Occupier'!$D$41/12,'FHA Amotization'!$A215,360,'Owner Occupier'!$D$40,0,0)</f>
        <v>760.08823397834999</v>
      </c>
      <c r="D215" s="4">
        <f t="shared" si="9"/>
        <v>1856.1630000265541</v>
      </c>
      <c r="E215" s="3">
        <f t="shared" si="10"/>
        <v>213517.07365136824</v>
      </c>
      <c r="F215" s="4">
        <f>('Owner Occupier'!$H$24-'Owner Occupier'!$D$52)/('Owner Occupier'!$D$56-'Owner Occupier'!$D$52)*B215</f>
        <v>527.4588762373055</v>
      </c>
      <c r="G215" s="4">
        <f t="shared" si="11"/>
        <v>78823.701482833465</v>
      </c>
    </row>
    <row r="216" spans="1:7" x14ac:dyDescent="0.25">
      <c r="A216">
        <v>213</v>
      </c>
      <c r="B216" s="4">
        <f>-PPMT('Owner Occupier'!$D$41/12,'FHA Amotization'!$A216,360,'Owner Occupier'!$D$40,0,0)</f>
        <v>1099.9566975112909</v>
      </c>
      <c r="C216" s="4">
        <f>-IPMT('Owner Occupier'!$D$41/12,'FHA Amotization'!$A216,360,'Owner Occupier'!$D$40,0,0)</f>
        <v>756.20630251526234</v>
      </c>
      <c r="D216" s="4">
        <f t="shared" si="9"/>
        <v>1856.1630000265532</v>
      </c>
      <c r="E216" s="3">
        <f t="shared" si="10"/>
        <v>212417.11695385695</v>
      </c>
      <c r="F216" s="4">
        <f>('Owner Occupier'!$H$24-'Owner Occupier'!$D$52)/('Owner Occupier'!$D$56-'Owner Occupier'!$D$52)*B216</f>
        <v>529.32695975731235</v>
      </c>
      <c r="G216" s="4">
        <f t="shared" si="11"/>
        <v>79353.028442590774</v>
      </c>
    </row>
    <row r="217" spans="1:7" x14ac:dyDescent="0.25">
      <c r="A217">
        <v>214</v>
      </c>
      <c r="B217" s="4">
        <f>-PPMT('Owner Occupier'!$D$41/12,'FHA Amotization'!$A217,360,'Owner Occupier'!$D$40,0,0)</f>
        <v>1103.8523774816435</v>
      </c>
      <c r="C217" s="4">
        <f>-IPMT('Owner Occupier'!$D$41/12,'FHA Amotization'!$A217,360,'Owner Occupier'!$D$40,0,0)</f>
        <v>752.31062254490985</v>
      </c>
      <c r="D217" s="4">
        <f t="shared" si="9"/>
        <v>1856.1630000265534</v>
      </c>
      <c r="E217" s="3">
        <f t="shared" si="10"/>
        <v>211313.26457637531</v>
      </c>
      <c r="F217" s="4">
        <f>('Owner Occupier'!$H$24-'Owner Occupier'!$D$52)/('Owner Occupier'!$D$56-'Owner Occupier'!$D$52)*B217</f>
        <v>531.2016594064529</v>
      </c>
      <c r="G217" s="4">
        <f t="shared" si="11"/>
        <v>79884.230101997222</v>
      </c>
    </row>
    <row r="218" spans="1:7" x14ac:dyDescent="0.25">
      <c r="A218">
        <v>215</v>
      </c>
      <c r="B218" s="4">
        <f>-PPMT('Owner Occupier'!$D$41/12,'FHA Amotization'!$A218,360,'Owner Occupier'!$D$40,0,0)</f>
        <v>1107.7618546518911</v>
      </c>
      <c r="C218" s="4">
        <f>-IPMT('Owner Occupier'!$D$41/12,'FHA Amotization'!$A218,360,'Owner Occupier'!$D$40,0,0)</f>
        <v>748.40114537466252</v>
      </c>
      <c r="D218" s="4">
        <f t="shared" si="9"/>
        <v>1856.1630000265536</v>
      </c>
      <c r="E218" s="3">
        <f t="shared" si="10"/>
        <v>210205.50272172343</v>
      </c>
      <c r="F218" s="4">
        <f>('Owner Occupier'!$H$24-'Owner Occupier'!$D$52)/('Owner Occupier'!$D$56-'Owner Occupier'!$D$52)*B218</f>
        <v>533.08299861685077</v>
      </c>
      <c r="G218" s="4">
        <f t="shared" si="11"/>
        <v>80417.313100614076</v>
      </c>
    </row>
    <row r="219" spans="1:7" x14ac:dyDescent="0.25">
      <c r="A219">
        <v>216</v>
      </c>
      <c r="B219" s="4">
        <f>-PPMT('Owner Occupier'!$D$41/12,'FHA Amotization'!$A219,360,'Owner Occupier'!$D$40,0,0)</f>
        <v>1111.6851778871167</v>
      </c>
      <c r="C219" s="4">
        <f>-IPMT('Owner Occupier'!$D$41/12,'FHA Amotization'!$A219,360,'Owner Occupier'!$D$40,0,0)</f>
        <v>744.47782213943708</v>
      </c>
      <c r="D219" s="4">
        <f t="shared" si="9"/>
        <v>1856.1630000265536</v>
      </c>
      <c r="E219" s="3">
        <f t="shared" si="10"/>
        <v>209093.81754383631</v>
      </c>
      <c r="F219" s="4">
        <f>('Owner Occupier'!$H$24-'Owner Occupier'!$D$52)/('Owner Occupier'!$D$56-'Owner Occupier'!$D$52)*B219</f>
        <v>534.9710009036188</v>
      </c>
      <c r="G219" s="4">
        <f t="shared" si="11"/>
        <v>80952.284101517696</v>
      </c>
    </row>
    <row r="220" spans="1:7" x14ac:dyDescent="0.25">
      <c r="A220">
        <v>217</v>
      </c>
      <c r="B220" s="4">
        <f>-PPMT('Owner Occupier'!$D$41/12,'FHA Amotization'!$A220,360,'Owner Occupier'!$D$40,0,0)</f>
        <v>1115.6223962254667</v>
      </c>
      <c r="C220" s="4">
        <f>-IPMT('Owner Occupier'!$D$41/12,'FHA Amotization'!$A220,360,'Owner Occupier'!$D$40,0,0)</f>
        <v>740.54060380108683</v>
      </c>
      <c r="D220" s="4">
        <f t="shared" si="9"/>
        <v>1856.1630000265536</v>
      </c>
      <c r="E220" s="3">
        <f t="shared" si="10"/>
        <v>207978.19514761085</v>
      </c>
      <c r="F220" s="4">
        <f>('Owner Occupier'!$H$24-'Owner Occupier'!$D$52)/('Owner Occupier'!$D$56-'Owner Occupier'!$D$52)*B220</f>
        <v>536.86568986515238</v>
      </c>
      <c r="G220" s="4">
        <f t="shared" si="11"/>
        <v>81489.14979138285</v>
      </c>
    </row>
    <row r="221" spans="1:7" x14ac:dyDescent="0.25">
      <c r="A221">
        <v>218</v>
      </c>
      <c r="B221" s="4">
        <f>-PPMT('Owner Occupier'!$D$41/12,'FHA Amotization'!$A221,360,'Owner Occupier'!$D$40,0,0)</f>
        <v>1119.5735588787652</v>
      </c>
      <c r="C221" s="4">
        <f>-IPMT('Owner Occupier'!$D$41/12,'FHA Amotization'!$A221,360,'Owner Occupier'!$D$40,0,0)</f>
        <v>736.58944114778819</v>
      </c>
      <c r="D221" s="4">
        <f t="shared" si="9"/>
        <v>1856.1630000265534</v>
      </c>
      <c r="E221" s="3">
        <f t="shared" si="10"/>
        <v>206858.62158873209</v>
      </c>
      <c r="F221" s="4">
        <f>('Owner Occupier'!$H$24-'Owner Occupier'!$D$52)/('Owner Occupier'!$D$56-'Owner Occupier'!$D$52)*B221</f>
        <v>538.76708918342479</v>
      </c>
      <c r="G221" s="4">
        <f t="shared" si="11"/>
        <v>82027.916880566278</v>
      </c>
    </row>
    <row r="222" spans="1:7" x14ac:dyDescent="0.25">
      <c r="A222">
        <v>219</v>
      </c>
      <c r="B222" s="4">
        <f>-PPMT('Owner Occupier'!$D$41/12,'FHA Amotization'!$A222,360,'Owner Occupier'!$D$40,0,0)</f>
        <v>1123.5387152331275</v>
      </c>
      <c r="C222" s="4">
        <f>-IPMT('Owner Occupier'!$D$41/12,'FHA Amotization'!$A222,360,'Owner Occupier'!$D$40,0,0)</f>
        <v>732.62428479342611</v>
      </c>
      <c r="D222" s="4">
        <f t="shared" si="9"/>
        <v>1856.1630000265536</v>
      </c>
      <c r="E222" s="3">
        <f t="shared" si="10"/>
        <v>205735.08287349896</v>
      </c>
      <c r="F222" s="4">
        <f>('Owner Occupier'!$H$24-'Owner Occupier'!$D$52)/('Owner Occupier'!$D$56-'Owner Occupier'!$D$52)*B222</f>
        <v>540.67522262428281</v>
      </c>
      <c r="G222" s="4">
        <f t="shared" si="11"/>
        <v>82568.59210319056</v>
      </c>
    </row>
    <row r="223" spans="1:7" x14ac:dyDescent="0.25">
      <c r="A223">
        <v>220</v>
      </c>
      <c r="B223" s="4">
        <f>-PPMT('Owner Occupier'!$D$41/12,'FHA Amotization'!$A223,360,'Owner Occupier'!$D$40,0,0)</f>
        <v>1127.5179148495783</v>
      </c>
      <c r="C223" s="4">
        <f>-IPMT('Owner Occupier'!$D$41/12,'FHA Amotization'!$A223,360,'Owner Occupier'!$D$40,0,0)</f>
        <v>728.64508517697539</v>
      </c>
      <c r="D223" s="4">
        <f t="shared" si="9"/>
        <v>1856.1630000265536</v>
      </c>
      <c r="E223" s="3">
        <f t="shared" si="10"/>
        <v>204607.5649586494</v>
      </c>
      <c r="F223" s="4">
        <f>('Owner Occupier'!$H$24-'Owner Occupier'!$D$52)/('Owner Occupier'!$D$56-'Owner Occupier'!$D$52)*B223</f>
        <v>542.59011403774389</v>
      </c>
      <c r="G223" s="4">
        <f t="shared" si="11"/>
        <v>83111.182217228299</v>
      </c>
    </row>
    <row r="224" spans="1:7" x14ac:dyDescent="0.25">
      <c r="A224">
        <v>221</v>
      </c>
      <c r="B224" s="4">
        <f>-PPMT('Owner Occupier'!$D$41/12,'FHA Amotization'!$A224,360,'Owner Occupier'!$D$40,0,0)</f>
        <v>1131.5112074646706</v>
      </c>
      <c r="C224" s="4">
        <f>-IPMT('Owner Occupier'!$D$41/12,'FHA Amotization'!$A224,360,'Owner Occupier'!$D$40,0,0)</f>
        <v>724.65179256188298</v>
      </c>
      <c r="D224" s="4">
        <f t="shared" si="9"/>
        <v>1856.1630000265536</v>
      </c>
      <c r="E224" s="3">
        <f t="shared" si="10"/>
        <v>203476.05375118472</v>
      </c>
      <c r="F224" s="4">
        <f>('Owner Occupier'!$H$24-'Owner Occupier'!$D$52)/('Owner Occupier'!$D$56-'Owner Occupier'!$D$52)*B224</f>
        <v>544.51178735829421</v>
      </c>
      <c r="G224" s="4">
        <f t="shared" si="11"/>
        <v>83655.694004586592</v>
      </c>
    </row>
    <row r="225" spans="1:7" x14ac:dyDescent="0.25">
      <c r="A225">
        <v>222</v>
      </c>
      <c r="B225" s="4">
        <f>-PPMT('Owner Occupier'!$D$41/12,'FHA Amotization'!$A225,360,'Owner Occupier'!$D$40,0,0)</f>
        <v>1135.518642991108</v>
      </c>
      <c r="C225" s="4">
        <f>-IPMT('Owner Occupier'!$D$41/12,'FHA Amotization'!$A225,360,'Owner Occupier'!$D$40,0,0)</f>
        <v>720.64435703544575</v>
      </c>
      <c r="D225" s="4">
        <f t="shared" si="9"/>
        <v>1856.1630000265536</v>
      </c>
      <c r="E225" s="3">
        <f t="shared" si="10"/>
        <v>202340.53510819361</v>
      </c>
      <c r="F225" s="4">
        <f>('Owner Occupier'!$H$24-'Owner Occupier'!$D$52)/('Owner Occupier'!$D$56-'Owner Occupier'!$D$52)*B225</f>
        <v>546.44026660518819</v>
      </c>
      <c r="G225" s="4">
        <f t="shared" si="11"/>
        <v>84202.134271191782</v>
      </c>
    </row>
    <row r="226" spans="1:7" x14ac:dyDescent="0.25">
      <c r="A226">
        <v>223</v>
      </c>
      <c r="B226" s="4">
        <f>-PPMT('Owner Occupier'!$D$41/12,'FHA Amotization'!$A226,360,'Owner Occupier'!$D$40,0,0)</f>
        <v>1139.5402715183682</v>
      </c>
      <c r="C226" s="4">
        <f>-IPMT('Owner Occupier'!$D$41/12,'FHA Amotization'!$A226,360,'Owner Occupier'!$D$40,0,0)</f>
        <v>716.62272850818556</v>
      </c>
      <c r="D226" s="4">
        <f t="shared" si="9"/>
        <v>1856.1630000265536</v>
      </c>
      <c r="E226" s="3">
        <f t="shared" si="10"/>
        <v>201200.99483667524</v>
      </c>
      <c r="F226" s="4">
        <f>('Owner Occupier'!$H$24-'Owner Occupier'!$D$52)/('Owner Occupier'!$D$56-'Owner Occupier'!$D$52)*B226</f>
        <v>548.37557588274819</v>
      </c>
      <c r="G226" s="4">
        <f t="shared" si="11"/>
        <v>84750.509847074529</v>
      </c>
    </row>
    <row r="227" spans="1:7" x14ac:dyDescent="0.25">
      <c r="A227">
        <v>224</v>
      </c>
      <c r="B227" s="4">
        <f>-PPMT('Owner Occupier'!$D$41/12,'FHA Amotization'!$A227,360,'Owner Occupier'!$D$40,0,0)</f>
        <v>1143.5761433133291</v>
      </c>
      <c r="C227" s="4">
        <f>-IPMT('Owner Occupier'!$D$41/12,'FHA Amotization'!$A227,360,'Owner Occupier'!$D$40,0,0)</f>
        <v>712.58685671322462</v>
      </c>
      <c r="D227" s="4">
        <f t="shared" si="9"/>
        <v>1856.1630000265536</v>
      </c>
      <c r="E227" s="3">
        <f t="shared" si="10"/>
        <v>200057.41869336192</v>
      </c>
      <c r="F227" s="4">
        <f>('Owner Occupier'!$H$24-'Owner Occupier'!$D$52)/('Owner Occupier'!$D$56-'Owner Occupier'!$D$52)*B227</f>
        <v>550.31773938066635</v>
      </c>
      <c r="G227" s="4">
        <f t="shared" si="11"/>
        <v>85300.827586455198</v>
      </c>
    </row>
    <row r="228" spans="1:7" x14ac:dyDescent="0.25">
      <c r="A228">
        <v>225</v>
      </c>
      <c r="B228" s="4">
        <f>-PPMT('Owner Occupier'!$D$41/12,'FHA Amotization'!$A228,360,'Owner Occupier'!$D$40,0,0)</f>
        <v>1147.6263088208971</v>
      </c>
      <c r="C228" s="4">
        <f>-IPMT('Owner Occupier'!$D$41/12,'FHA Amotization'!$A228,360,'Owner Occupier'!$D$40,0,0)</f>
        <v>708.53669120565667</v>
      </c>
      <c r="D228" s="4">
        <f t="shared" si="9"/>
        <v>1856.1630000265536</v>
      </c>
      <c r="E228" s="3">
        <f t="shared" si="10"/>
        <v>198909.79238454101</v>
      </c>
      <c r="F228" s="4">
        <f>('Owner Occupier'!$H$24-'Owner Occupier'!$D$52)/('Owner Occupier'!$D$56-'Owner Occupier'!$D$52)*B228</f>
        <v>552.26678137430611</v>
      </c>
      <c r="G228" s="4">
        <f t="shared" si="11"/>
        <v>85853.094367829501</v>
      </c>
    </row>
    <row r="229" spans="1:7" x14ac:dyDescent="0.25">
      <c r="A229">
        <v>226</v>
      </c>
      <c r="B229" s="4">
        <f>-PPMT('Owner Occupier'!$D$41/12,'FHA Amotization'!$A229,360,'Owner Occupier'!$D$40,0,0)</f>
        <v>1151.6908186646378</v>
      </c>
      <c r="C229" s="4">
        <f>-IPMT('Owner Occupier'!$D$41/12,'FHA Amotization'!$A229,360,'Owner Occupier'!$D$40,0,0)</f>
        <v>704.47218136191589</v>
      </c>
      <c r="D229" s="4">
        <f t="shared" si="9"/>
        <v>1856.1630000265536</v>
      </c>
      <c r="E229" s="3">
        <f t="shared" si="10"/>
        <v>197758.10156587636</v>
      </c>
      <c r="F229" s="4">
        <f>('Owner Occupier'!$H$24-'Owner Occupier'!$D$52)/('Owner Occupier'!$D$56-'Owner Occupier'!$D$52)*B229</f>
        <v>554.2227262250068</v>
      </c>
      <c r="G229" s="4">
        <f t="shared" si="11"/>
        <v>86407.31709405451</v>
      </c>
    </row>
    <row r="230" spans="1:7" x14ac:dyDescent="0.25">
      <c r="A230">
        <v>227</v>
      </c>
      <c r="B230" s="4">
        <f>-PPMT('Owner Occupier'!$D$41/12,'FHA Amotization'!$A230,360,'Owner Occupier'!$D$40,0,0)</f>
        <v>1155.7697236474085</v>
      </c>
      <c r="C230" s="4">
        <f>-IPMT('Owner Occupier'!$D$41/12,'FHA Amotization'!$A230,360,'Owner Occupier'!$D$40,0,0)</f>
        <v>700.39327637914539</v>
      </c>
      <c r="D230" s="4">
        <f t="shared" si="9"/>
        <v>1856.1630000265538</v>
      </c>
      <c r="E230" s="3">
        <f t="shared" si="10"/>
        <v>196602.33184222894</v>
      </c>
      <c r="F230" s="4">
        <f>('Owner Occupier'!$H$24-'Owner Occupier'!$D$52)/('Owner Occupier'!$D$56-'Owner Occupier'!$D$52)*B230</f>
        <v>556.18559838038709</v>
      </c>
      <c r="G230" s="4">
        <f t="shared" si="11"/>
        <v>86963.502692434893</v>
      </c>
    </row>
    <row r="231" spans="1:7" x14ac:dyDescent="0.25">
      <c r="A231">
        <v>228</v>
      </c>
      <c r="B231" s="4">
        <f>-PPMT('Owner Occupier'!$D$41/12,'FHA Amotization'!$A231,360,'Owner Occupier'!$D$40,0,0)</f>
        <v>1159.8630747519931</v>
      </c>
      <c r="C231" s="4">
        <f>-IPMT('Owner Occupier'!$D$41/12,'FHA Amotization'!$A231,360,'Owner Occupier'!$D$40,0,0)</f>
        <v>696.29992527456079</v>
      </c>
      <c r="D231" s="4">
        <f t="shared" si="9"/>
        <v>1856.1630000265538</v>
      </c>
      <c r="E231" s="3">
        <f t="shared" si="10"/>
        <v>195442.46876747694</v>
      </c>
      <c r="F231" s="4">
        <f>('Owner Occupier'!$H$24-'Owner Occupier'!$D$52)/('Owner Occupier'!$D$56-'Owner Occupier'!$D$52)*B231</f>
        <v>558.15542237465093</v>
      </c>
      <c r="G231" s="4">
        <f t="shared" si="11"/>
        <v>87521.658114809543</v>
      </c>
    </row>
    <row r="232" spans="1:7" x14ac:dyDescent="0.25">
      <c r="A232">
        <v>229</v>
      </c>
      <c r="B232" s="4">
        <f>-PPMT('Owner Occupier'!$D$41/12,'FHA Amotization'!$A232,360,'Owner Occupier'!$D$40,0,0)</f>
        <v>1163.9709231417396</v>
      </c>
      <c r="C232" s="4">
        <f>-IPMT('Owner Occupier'!$D$41/12,'FHA Amotization'!$A232,360,'Owner Occupier'!$D$40,0,0)</f>
        <v>692.19207688481413</v>
      </c>
      <c r="D232" s="4">
        <f t="shared" si="9"/>
        <v>1856.1630000265536</v>
      </c>
      <c r="E232" s="3">
        <f t="shared" si="10"/>
        <v>194278.49784433519</v>
      </c>
      <c r="F232" s="4">
        <f>('Owner Occupier'!$H$24-'Owner Occupier'!$D$52)/('Owner Occupier'!$D$56-'Owner Occupier'!$D$52)*B232</f>
        <v>560.13222282889444</v>
      </c>
      <c r="G232" s="4">
        <f t="shared" si="11"/>
        <v>88081.790337638435</v>
      </c>
    </row>
    <row r="233" spans="1:7" x14ac:dyDescent="0.25">
      <c r="A233">
        <v>230</v>
      </c>
      <c r="B233" s="4">
        <f>-PPMT('Owner Occupier'!$D$41/12,'FHA Amotization'!$A233,360,'Owner Occupier'!$D$40,0,0)</f>
        <v>1168.0933201611999</v>
      </c>
      <c r="C233" s="4">
        <f>-IPMT('Owner Occupier'!$D$41/12,'FHA Amotization'!$A233,360,'Owner Occupier'!$D$40,0,0)</f>
        <v>688.06967986535369</v>
      </c>
      <c r="D233" s="4">
        <f t="shared" si="9"/>
        <v>1856.1630000265536</v>
      </c>
      <c r="E233" s="3">
        <f t="shared" si="10"/>
        <v>193110.404524174</v>
      </c>
      <c r="F233" s="4">
        <f>('Owner Occupier'!$H$24-'Owner Occupier'!$D$52)/('Owner Occupier'!$D$56-'Owner Occupier'!$D$52)*B233</f>
        <v>562.11602445141352</v>
      </c>
      <c r="G233" s="4">
        <f t="shared" si="11"/>
        <v>88643.906362089852</v>
      </c>
    </row>
    <row r="234" spans="1:7" x14ac:dyDescent="0.25">
      <c r="A234">
        <v>231</v>
      </c>
      <c r="B234" s="4">
        <f>-PPMT('Owner Occupier'!$D$41/12,'FHA Amotization'!$A234,360,'Owner Occupier'!$D$40,0,0)</f>
        <v>1172.2303173367709</v>
      </c>
      <c r="C234" s="4">
        <f>-IPMT('Owner Occupier'!$D$41/12,'FHA Amotization'!$A234,360,'Owner Occupier'!$D$40,0,0)</f>
        <v>683.93268268978284</v>
      </c>
      <c r="D234" s="4">
        <f t="shared" si="9"/>
        <v>1856.1630000265536</v>
      </c>
      <c r="E234" s="3">
        <f t="shared" si="10"/>
        <v>191938.17420683723</v>
      </c>
      <c r="F234" s="4">
        <f>('Owner Occupier'!$H$24-'Owner Occupier'!$D$52)/('Owner Occupier'!$D$56-'Owner Occupier'!$D$52)*B234</f>
        <v>564.10685203801222</v>
      </c>
      <c r="G234" s="4">
        <f t="shared" si="11"/>
        <v>89208.013214127859</v>
      </c>
    </row>
    <row r="235" spans="1:7" x14ac:dyDescent="0.25">
      <c r="A235">
        <v>232</v>
      </c>
      <c r="B235" s="4">
        <f>-PPMT('Owner Occupier'!$D$41/12,'FHA Amotization'!$A235,360,'Owner Occupier'!$D$40,0,0)</f>
        <v>1176.3819663773386</v>
      </c>
      <c r="C235" s="4">
        <f>-IPMT('Owner Occupier'!$D$41/12,'FHA Amotization'!$A235,360,'Owner Occupier'!$D$40,0,0)</f>
        <v>679.78103364921515</v>
      </c>
      <c r="D235" s="4">
        <f t="shared" si="9"/>
        <v>1856.1630000265536</v>
      </c>
      <c r="E235" s="3">
        <f t="shared" si="10"/>
        <v>190761.79224045988</v>
      </c>
      <c r="F235" s="4">
        <f>('Owner Occupier'!$H$24-'Owner Occupier'!$D$52)/('Owner Occupier'!$D$56-'Owner Occupier'!$D$52)*B235</f>
        <v>566.10473047231358</v>
      </c>
      <c r="G235" s="4">
        <f t="shared" si="11"/>
        <v>89774.117944600177</v>
      </c>
    </row>
    <row r="236" spans="1:7" x14ac:dyDescent="0.25">
      <c r="A236">
        <v>233</v>
      </c>
      <c r="B236" s="4">
        <f>-PPMT('Owner Occupier'!$D$41/12,'FHA Amotization'!$A236,360,'Owner Occupier'!$D$40,0,0)</f>
        <v>1180.5483191749252</v>
      </c>
      <c r="C236" s="4">
        <f>-IPMT('Owner Occupier'!$D$41/12,'FHA Amotization'!$A236,360,'Owner Occupier'!$D$40,0,0)</f>
        <v>675.6146808516288</v>
      </c>
      <c r="D236" s="4">
        <f t="shared" si="9"/>
        <v>1856.1630000265541</v>
      </c>
      <c r="E236" s="3">
        <f t="shared" si="10"/>
        <v>189581.24392128494</v>
      </c>
      <c r="F236" s="4">
        <f>('Owner Occupier'!$H$24-'Owner Occupier'!$D$52)/('Owner Occupier'!$D$56-'Owner Occupier'!$D$52)*B236</f>
        <v>568.10968472606976</v>
      </c>
      <c r="G236" s="4">
        <f t="shared" si="11"/>
        <v>90342.22762932624</v>
      </c>
    </row>
    <row r="237" spans="1:7" x14ac:dyDescent="0.25">
      <c r="A237">
        <v>234</v>
      </c>
      <c r="B237" s="4">
        <f>-PPMT('Owner Occupier'!$D$41/12,'FHA Amotization'!$A237,360,'Owner Occupier'!$D$40,0,0)</f>
        <v>1184.7294278053362</v>
      </c>
      <c r="C237" s="4">
        <f>-IPMT('Owner Occupier'!$D$41/12,'FHA Amotization'!$A237,360,'Owner Occupier'!$D$40,0,0)</f>
        <v>671.43357222121756</v>
      </c>
      <c r="D237" s="4">
        <f t="shared" si="9"/>
        <v>1856.1630000265536</v>
      </c>
      <c r="E237" s="3">
        <f t="shared" si="10"/>
        <v>188396.5144934796</v>
      </c>
      <c r="F237" s="4">
        <f>('Owner Occupier'!$H$24-'Owner Occupier'!$D$52)/('Owner Occupier'!$D$56-'Owner Occupier'!$D$52)*B237</f>
        <v>570.12173985947447</v>
      </c>
      <c r="G237" s="4">
        <f t="shared" si="11"/>
        <v>90912.349369185715</v>
      </c>
    </row>
    <row r="238" spans="1:7" x14ac:dyDescent="0.25">
      <c r="A238">
        <v>235</v>
      </c>
      <c r="B238" s="4">
        <f>-PPMT('Owner Occupier'!$D$41/12,'FHA Amotization'!$A238,360,'Owner Occupier'!$D$40,0,0)</f>
        <v>1188.9253445288134</v>
      </c>
      <c r="C238" s="4">
        <f>-IPMT('Owner Occupier'!$D$41/12,'FHA Amotization'!$A238,360,'Owner Occupier'!$D$40,0,0)</f>
        <v>667.23765549774043</v>
      </c>
      <c r="D238" s="4">
        <f t="shared" si="9"/>
        <v>1856.1630000265538</v>
      </c>
      <c r="E238" s="3">
        <f t="shared" si="10"/>
        <v>187207.58914895079</v>
      </c>
      <c r="F238" s="4">
        <f>('Owner Occupier'!$H$24-'Owner Occupier'!$D$52)/('Owner Occupier'!$D$56-'Owner Occupier'!$D$52)*B238</f>
        <v>572.14092102147674</v>
      </c>
      <c r="G238" s="4">
        <f t="shared" si="11"/>
        <v>91484.490290207192</v>
      </c>
    </row>
    <row r="239" spans="1:7" x14ac:dyDescent="0.25">
      <c r="A239">
        <v>236</v>
      </c>
      <c r="B239" s="4">
        <f>-PPMT('Owner Occupier'!$D$41/12,'FHA Amotization'!$A239,360,'Owner Occupier'!$D$40,0,0)</f>
        <v>1193.136121790686</v>
      </c>
      <c r="C239" s="4">
        <f>-IPMT('Owner Occupier'!$D$41/12,'FHA Amotization'!$A239,360,'Owner Occupier'!$D$40,0,0)</f>
        <v>663.02687823586746</v>
      </c>
      <c r="D239" s="4">
        <f t="shared" si="9"/>
        <v>1856.1630000265536</v>
      </c>
      <c r="E239" s="3">
        <f t="shared" si="10"/>
        <v>186014.45302716011</v>
      </c>
      <c r="F239" s="4">
        <f>('Owner Occupier'!$H$24-'Owner Occupier'!$D$52)/('Owner Occupier'!$D$56-'Owner Occupier'!$D$52)*B239</f>
        <v>574.16725345009434</v>
      </c>
      <c r="G239" s="4">
        <f t="shared" si="11"/>
        <v>92058.657543657289</v>
      </c>
    </row>
    <row r="240" spans="1:7" x14ac:dyDescent="0.25">
      <c r="A240">
        <v>237</v>
      </c>
      <c r="B240" s="4">
        <f>-PPMT('Owner Occupier'!$D$41/12,'FHA Amotization'!$A240,360,'Owner Occupier'!$D$40,0,0)</f>
        <v>1197.3618122220282</v>
      </c>
      <c r="C240" s="4">
        <f>-IPMT('Owner Occupier'!$D$41/12,'FHA Amotization'!$A240,360,'Owner Occupier'!$D$40,0,0)</f>
        <v>658.8011878045254</v>
      </c>
      <c r="D240" s="4">
        <f t="shared" si="9"/>
        <v>1856.1630000265536</v>
      </c>
      <c r="E240" s="3">
        <f t="shared" si="10"/>
        <v>184817.09121493809</v>
      </c>
      <c r="F240" s="4">
        <f>('Owner Occupier'!$H$24-'Owner Occupier'!$D$52)/('Owner Occupier'!$D$56-'Owner Occupier'!$D$52)*B240</f>
        <v>576.20076247273016</v>
      </c>
      <c r="G240" s="4">
        <f t="shared" si="11"/>
        <v>92634.858306130016</v>
      </c>
    </row>
    <row r="241" spans="1:7" x14ac:dyDescent="0.25">
      <c r="A241">
        <v>238</v>
      </c>
      <c r="B241" s="4">
        <f>-PPMT('Owner Occupier'!$D$41/12,'FHA Amotization'!$A241,360,'Owner Occupier'!$D$40,0,0)</f>
        <v>1201.6024686403146</v>
      </c>
      <c r="C241" s="4">
        <f>-IPMT('Owner Occupier'!$D$41/12,'FHA Amotization'!$A241,360,'Owner Occupier'!$D$40,0,0)</f>
        <v>654.56053138623906</v>
      </c>
      <c r="D241" s="4">
        <f t="shared" si="9"/>
        <v>1856.1630000265536</v>
      </c>
      <c r="E241" s="3">
        <f t="shared" si="10"/>
        <v>183615.48874629778</v>
      </c>
      <c r="F241" s="4">
        <f>('Owner Occupier'!$H$24-'Owner Occupier'!$D$52)/('Owner Occupier'!$D$56-'Owner Occupier'!$D$52)*B241</f>
        <v>578.24147350648775</v>
      </c>
      <c r="G241" s="4">
        <f t="shared" si="11"/>
        <v>93213.099779636497</v>
      </c>
    </row>
    <row r="242" spans="1:7" x14ac:dyDescent="0.25">
      <c r="A242">
        <v>239</v>
      </c>
      <c r="B242" s="4">
        <f>-PPMT('Owner Occupier'!$D$41/12,'FHA Amotization'!$A242,360,'Owner Occupier'!$D$40,0,0)</f>
        <v>1205.8581440500823</v>
      </c>
      <c r="C242" s="4">
        <f>-IPMT('Owner Occupier'!$D$41/12,'FHA Amotization'!$A242,360,'Owner Occupier'!$D$40,0,0)</f>
        <v>650.30485597647134</v>
      </c>
      <c r="D242" s="4">
        <f t="shared" si="9"/>
        <v>1856.1630000265536</v>
      </c>
      <c r="E242" s="3">
        <f t="shared" si="10"/>
        <v>182409.63060224769</v>
      </c>
      <c r="F242" s="4">
        <f>('Owner Occupier'!$H$24-'Owner Occupier'!$D$52)/('Owner Occupier'!$D$56-'Owner Occupier'!$D$52)*B242</f>
        <v>580.28941205848992</v>
      </c>
      <c r="G242" s="4">
        <f t="shared" si="11"/>
        <v>93793.389191694994</v>
      </c>
    </row>
    <row r="243" spans="1:7" x14ac:dyDescent="0.25">
      <c r="A243">
        <v>240</v>
      </c>
      <c r="B243" s="4">
        <f>-PPMT('Owner Occupier'!$D$41/12,'FHA Amotization'!$A243,360,'Owner Occupier'!$D$40,0,0)</f>
        <v>1210.1288916435931</v>
      </c>
      <c r="C243" s="4">
        <f>-IPMT('Owner Occupier'!$D$41/12,'FHA Amotization'!$A243,360,'Owner Occupier'!$D$40,0,0)</f>
        <v>646.03410838296065</v>
      </c>
      <c r="D243" s="4">
        <f t="shared" si="9"/>
        <v>1856.1630000265536</v>
      </c>
      <c r="E243" s="3">
        <f t="shared" si="10"/>
        <v>181199.50171060409</v>
      </c>
      <c r="F243" s="4">
        <f>('Owner Occupier'!$H$24-'Owner Occupier'!$D$52)/('Owner Occupier'!$D$56-'Owner Occupier'!$D$52)*B243</f>
        <v>582.34460372619708</v>
      </c>
      <c r="G243" s="4">
        <f t="shared" si="11"/>
        <v>94375.733795421198</v>
      </c>
    </row>
    <row r="244" spans="1:7" x14ac:dyDescent="0.25">
      <c r="A244">
        <v>241</v>
      </c>
      <c r="B244" s="4">
        <f>-PPMT('Owner Occupier'!$D$41/12,'FHA Amotization'!$A244,360,'Owner Occupier'!$D$40,0,0)</f>
        <v>1214.4147648014973</v>
      </c>
      <c r="C244" s="4">
        <f>-IPMT('Owner Occupier'!$D$41/12,'FHA Amotization'!$A244,360,'Owner Occupier'!$D$40,0,0)</f>
        <v>641.74823522505619</v>
      </c>
      <c r="D244" s="4">
        <f t="shared" si="9"/>
        <v>1856.1630000265536</v>
      </c>
      <c r="E244" s="3">
        <f t="shared" si="10"/>
        <v>179985.08694580258</v>
      </c>
      <c r="F244" s="4">
        <f>('Owner Occupier'!$H$24-'Owner Occupier'!$D$52)/('Owner Occupier'!$D$56-'Owner Occupier'!$D$52)*B244</f>
        <v>584.4070741977273</v>
      </c>
      <c r="G244" s="4">
        <f t="shared" si="11"/>
        <v>94960.140869618932</v>
      </c>
    </row>
    <row r="245" spans="1:7" x14ac:dyDescent="0.25">
      <c r="A245">
        <v>242</v>
      </c>
      <c r="B245" s="4">
        <f>-PPMT('Owner Occupier'!$D$41/12,'FHA Amotization'!$A245,360,'Owner Occupier'!$D$40,0,0)</f>
        <v>1218.7158170935029</v>
      </c>
      <c r="C245" s="4">
        <f>-IPMT('Owner Occupier'!$D$41/12,'FHA Amotization'!$A245,360,'Owner Occupier'!$D$40,0,0)</f>
        <v>637.44718293305095</v>
      </c>
      <c r="D245" s="4">
        <f t="shared" si="9"/>
        <v>1856.1630000265538</v>
      </c>
      <c r="E245" s="3">
        <f t="shared" si="10"/>
        <v>178766.37112870908</v>
      </c>
      <c r="F245" s="4">
        <f>('Owner Occupier'!$H$24-'Owner Occupier'!$D$52)/('Owner Occupier'!$D$56-'Owner Occupier'!$D$52)*B245</f>
        <v>586.47684925217777</v>
      </c>
      <c r="G245" s="4">
        <f t="shared" si="11"/>
        <v>95546.617718871115</v>
      </c>
    </row>
    <row r="246" spans="1:7" x14ac:dyDescent="0.25">
      <c r="A246">
        <v>243</v>
      </c>
      <c r="B246" s="4">
        <f>-PPMT('Owner Occupier'!$D$41/12,'FHA Amotization'!$A246,360,'Owner Occupier'!$D$40,0,0)</f>
        <v>1223.0321022790422</v>
      </c>
      <c r="C246" s="4">
        <f>-IPMT('Owner Occupier'!$D$41/12,'FHA Amotization'!$A246,360,'Owner Occupier'!$D$40,0,0)</f>
        <v>633.13089774751143</v>
      </c>
      <c r="D246" s="4">
        <f t="shared" si="9"/>
        <v>1856.1630000265536</v>
      </c>
      <c r="E246" s="3">
        <f t="shared" si="10"/>
        <v>177543.33902643004</v>
      </c>
      <c r="F246" s="4">
        <f>('Owner Occupier'!$H$24-'Owner Occupier'!$D$52)/('Owner Occupier'!$D$56-'Owner Occupier'!$D$52)*B246</f>
        <v>588.55395475994578</v>
      </c>
      <c r="G246" s="4">
        <f t="shared" si="11"/>
        <v>96135.171673631063</v>
      </c>
    </row>
    <row r="247" spans="1:7" x14ac:dyDescent="0.25">
      <c r="A247">
        <v>244</v>
      </c>
      <c r="B247" s="4">
        <f>-PPMT('Owner Occupier'!$D$41/12,'FHA Amotization'!$A247,360,'Owner Occupier'!$D$40,0,0)</f>
        <v>1227.3636743079473</v>
      </c>
      <c r="C247" s="4">
        <f>-IPMT('Owner Occupier'!$D$41/12,'FHA Amotization'!$A247,360,'Owner Occupier'!$D$40,0,0)</f>
        <v>628.79932571860638</v>
      </c>
      <c r="D247" s="4">
        <f t="shared" si="9"/>
        <v>1856.1630000265536</v>
      </c>
      <c r="E247" s="3">
        <f t="shared" si="10"/>
        <v>176315.9753521221</v>
      </c>
      <c r="F247" s="4">
        <f>('Owner Occupier'!$H$24-'Owner Occupier'!$D$52)/('Owner Occupier'!$D$56-'Owner Occupier'!$D$52)*B247</f>
        <v>590.63841668305406</v>
      </c>
      <c r="G247" s="4">
        <f t="shared" si="11"/>
        <v>96725.810090314117</v>
      </c>
    </row>
    <row r="248" spans="1:7" x14ac:dyDescent="0.25">
      <c r="A248">
        <v>245</v>
      </c>
      <c r="B248" s="4">
        <f>-PPMT('Owner Occupier'!$D$41/12,'FHA Amotization'!$A248,360,'Owner Occupier'!$D$40,0,0)</f>
        <v>1231.7105873211212</v>
      </c>
      <c r="C248" s="4">
        <f>-IPMT('Owner Occupier'!$D$41/12,'FHA Amotization'!$A248,360,'Owner Occupier'!$D$40,0,0)</f>
        <v>624.45241270543249</v>
      </c>
      <c r="D248" s="4">
        <f t="shared" si="9"/>
        <v>1856.1630000265536</v>
      </c>
      <c r="E248" s="3">
        <f t="shared" si="10"/>
        <v>175084.26476480099</v>
      </c>
      <c r="F248" s="4">
        <f>('Owner Occupier'!$H$24-'Owner Occupier'!$D$52)/('Owner Occupier'!$D$56-'Owner Occupier'!$D$52)*B248</f>
        <v>592.73026107547309</v>
      </c>
      <c r="G248" s="4">
        <f t="shared" si="11"/>
        <v>97318.540351389587</v>
      </c>
    </row>
    <row r="249" spans="1:7" x14ac:dyDescent="0.25">
      <c r="A249">
        <v>246</v>
      </c>
      <c r="B249" s="4">
        <f>-PPMT('Owner Occupier'!$D$41/12,'FHA Amotization'!$A249,360,'Owner Occupier'!$D$40,0,0)</f>
        <v>1236.0728956512166</v>
      </c>
      <c r="C249" s="4">
        <f>-IPMT('Owner Occupier'!$D$41/12,'FHA Amotization'!$A249,360,'Owner Occupier'!$D$40,0,0)</f>
        <v>620.09010437533686</v>
      </c>
      <c r="D249" s="4">
        <f t="shared" si="9"/>
        <v>1856.1630000265536</v>
      </c>
      <c r="E249" s="3">
        <f t="shared" si="10"/>
        <v>173848.19186914977</v>
      </c>
      <c r="F249" s="4">
        <f>('Owner Occupier'!$H$24-'Owner Occupier'!$D$52)/('Owner Occupier'!$D$56-'Owner Occupier'!$D$52)*B249</f>
        <v>594.82951408344866</v>
      </c>
      <c r="G249" s="4">
        <f t="shared" si="11"/>
        <v>97913.36986547304</v>
      </c>
    </row>
    <row r="250" spans="1:7" x14ac:dyDescent="0.25">
      <c r="A250">
        <v>247</v>
      </c>
      <c r="B250" s="4">
        <f>-PPMT('Owner Occupier'!$D$41/12,'FHA Amotization'!$A250,360,'Owner Occupier'!$D$40,0,0)</f>
        <v>1240.4506538233147</v>
      </c>
      <c r="C250" s="4">
        <f>-IPMT('Owner Occupier'!$D$41/12,'FHA Amotization'!$A250,360,'Owner Occupier'!$D$40,0,0)</f>
        <v>615.71234620323878</v>
      </c>
      <c r="D250" s="4">
        <f t="shared" si="9"/>
        <v>1856.1630000265536</v>
      </c>
      <c r="E250" s="3">
        <f t="shared" si="10"/>
        <v>172607.74121532644</v>
      </c>
      <c r="F250" s="4">
        <f>('Owner Occupier'!$H$24-'Owner Occupier'!$D$52)/('Owner Occupier'!$D$56-'Owner Occupier'!$D$52)*B250</f>
        <v>596.93620194582752</v>
      </c>
      <c r="G250" s="4">
        <f t="shared" si="11"/>
        <v>98510.30606741886</v>
      </c>
    </row>
    <row r="251" spans="1:7" x14ac:dyDescent="0.25">
      <c r="A251">
        <v>248</v>
      </c>
      <c r="B251" s="4">
        <f>-PPMT('Owner Occupier'!$D$41/12,'FHA Amotization'!$A251,360,'Owner Occupier'!$D$40,0,0)</f>
        <v>1244.8439165556058</v>
      </c>
      <c r="C251" s="4">
        <f>-IPMT('Owner Occupier'!$D$41/12,'FHA Amotization'!$A251,360,'Owner Occupier'!$D$40,0,0)</f>
        <v>611.31908347094782</v>
      </c>
      <c r="D251" s="4">
        <f t="shared" si="9"/>
        <v>1856.1630000265536</v>
      </c>
      <c r="E251" s="3">
        <f t="shared" si="10"/>
        <v>171362.89729877084</v>
      </c>
      <c r="F251" s="4">
        <f>('Owner Occupier'!$H$24-'Owner Occupier'!$D$52)/('Owner Occupier'!$D$56-'Owner Occupier'!$D$52)*B251</f>
        <v>599.05035099438578</v>
      </c>
      <c r="G251" s="4">
        <f t="shared" si="11"/>
        <v>99109.356418413241</v>
      </c>
    </row>
    <row r="252" spans="1:7" x14ac:dyDescent="0.25">
      <c r="A252">
        <v>249</v>
      </c>
      <c r="B252" s="4">
        <f>-PPMT('Owner Occupier'!$D$41/12,'FHA Amotization'!$A252,360,'Owner Occupier'!$D$40,0,0)</f>
        <v>1249.2527387600735</v>
      </c>
      <c r="C252" s="4">
        <f>-IPMT('Owner Occupier'!$D$41/12,'FHA Amotization'!$A252,360,'Owner Occupier'!$D$40,0,0)</f>
        <v>606.91026126648012</v>
      </c>
      <c r="D252" s="4">
        <f t="shared" si="9"/>
        <v>1856.1630000265536</v>
      </c>
      <c r="E252" s="3">
        <f t="shared" si="10"/>
        <v>170113.64456001075</v>
      </c>
      <c r="F252" s="4">
        <f>('Owner Occupier'!$H$24-'Owner Occupier'!$D$52)/('Owner Occupier'!$D$56-'Owner Occupier'!$D$52)*B252</f>
        <v>601.17198765415753</v>
      </c>
      <c r="G252" s="4">
        <f t="shared" si="11"/>
        <v>99710.528406067402</v>
      </c>
    </row>
    <row r="253" spans="1:7" x14ac:dyDescent="0.25">
      <c r="A253">
        <v>250</v>
      </c>
      <c r="B253" s="4">
        <f>-PPMT('Owner Occupier'!$D$41/12,'FHA Amotization'!$A253,360,'Owner Occupier'!$D$40,0,0)</f>
        <v>1253.6771755431823</v>
      </c>
      <c r="C253" s="4">
        <f>-IPMT('Owner Occupier'!$D$41/12,'FHA Amotization'!$A253,360,'Owner Occupier'!$D$40,0,0)</f>
        <v>602.48582448337152</v>
      </c>
      <c r="D253" s="4">
        <f t="shared" si="9"/>
        <v>1856.1630000265538</v>
      </c>
      <c r="E253" s="3">
        <f t="shared" si="10"/>
        <v>168859.96738446757</v>
      </c>
      <c r="F253" s="4">
        <f>('Owner Occupier'!$H$24-'Owner Occupier'!$D$52)/('Owner Occupier'!$D$56-'Owner Occupier'!$D$52)*B253</f>
        <v>603.30113844376604</v>
      </c>
      <c r="G253" s="4">
        <f t="shared" si="11"/>
        <v>100313.82954451117</v>
      </c>
    </row>
    <row r="254" spans="1:7" x14ac:dyDescent="0.25">
      <c r="A254">
        <v>251</v>
      </c>
      <c r="B254" s="4">
        <f>-PPMT('Owner Occupier'!$D$41/12,'FHA Amotization'!$A254,360,'Owner Occupier'!$D$40,0,0)</f>
        <v>1258.1172822065641</v>
      </c>
      <c r="C254" s="4">
        <f>-IPMT('Owner Occupier'!$D$41/12,'FHA Amotization'!$A254,360,'Owner Occupier'!$D$40,0,0)</f>
        <v>598.04571781998948</v>
      </c>
      <c r="D254" s="4">
        <f t="shared" si="9"/>
        <v>1856.1630000265536</v>
      </c>
      <c r="E254" s="3">
        <f t="shared" si="10"/>
        <v>167601.850102261</v>
      </c>
      <c r="F254" s="4">
        <f>('Owner Occupier'!$H$24-'Owner Occupier'!$D$52)/('Owner Occupier'!$D$56-'Owner Occupier'!$D$52)*B254</f>
        <v>605.43782997575431</v>
      </c>
      <c r="G254" s="4">
        <f t="shared" si="11"/>
        <v>100919.26737448692</v>
      </c>
    </row>
    <row r="255" spans="1:7" x14ac:dyDescent="0.25">
      <c r="A255">
        <v>252</v>
      </c>
      <c r="B255" s="4">
        <f>-PPMT('Owner Occupier'!$D$41/12,'FHA Amotization'!$A255,360,'Owner Occupier'!$D$40,0,0)</f>
        <v>1262.5731142477125</v>
      </c>
      <c r="C255" s="4">
        <f>-IPMT('Owner Occupier'!$D$41/12,'FHA Amotization'!$A255,360,'Owner Occupier'!$D$40,0,0)</f>
        <v>593.58988577884111</v>
      </c>
      <c r="D255" s="4">
        <f t="shared" si="9"/>
        <v>1856.1630000265536</v>
      </c>
      <c r="E255" s="3">
        <f t="shared" si="10"/>
        <v>166339.2769880133</v>
      </c>
      <c r="F255" s="4">
        <f>('Owner Occupier'!$H$24-'Owner Occupier'!$D$52)/('Owner Occupier'!$D$56-'Owner Occupier'!$D$52)*B255</f>
        <v>607.58208895691848</v>
      </c>
      <c r="G255" s="4">
        <f t="shared" si="11"/>
        <v>101526.84946344384</v>
      </c>
    </row>
    <row r="256" spans="1:7" x14ac:dyDescent="0.25">
      <c r="A256">
        <v>253</v>
      </c>
      <c r="B256" s="4">
        <f>-PPMT('Owner Occupier'!$D$41/12,'FHA Amotization'!$A256,360,'Owner Occupier'!$D$40,0,0)</f>
        <v>1267.0447273606733</v>
      </c>
      <c r="C256" s="4">
        <f>-IPMT('Owner Occupier'!$D$41/12,'FHA Amotization'!$A256,360,'Owner Occupier'!$D$40,0,0)</f>
        <v>589.11827266588057</v>
      </c>
      <c r="D256" s="4">
        <f t="shared" si="9"/>
        <v>1856.1630000265538</v>
      </c>
      <c r="E256" s="3">
        <f t="shared" si="10"/>
        <v>165072.23226065261</v>
      </c>
      <c r="F256" s="4">
        <f>('Owner Occupier'!$H$24-'Owner Occupier'!$D$52)/('Owner Occupier'!$D$56-'Owner Occupier'!$D$52)*B256</f>
        <v>609.73394218864098</v>
      </c>
      <c r="G256" s="4">
        <f t="shared" si="11"/>
        <v>102136.58340563248</v>
      </c>
    </row>
    <row r="257" spans="1:7" x14ac:dyDescent="0.25">
      <c r="A257">
        <v>254</v>
      </c>
      <c r="B257" s="4">
        <f>-PPMT('Owner Occupier'!$D$41/12,'FHA Amotization'!$A257,360,'Owner Occupier'!$D$40,0,0)</f>
        <v>1271.5321774367421</v>
      </c>
      <c r="C257" s="4">
        <f>-IPMT('Owner Occupier'!$D$41/12,'FHA Amotization'!$A257,360,'Owner Occupier'!$D$40,0,0)</f>
        <v>584.63082258981149</v>
      </c>
      <c r="D257" s="4">
        <f t="shared" si="9"/>
        <v>1856.1630000265536</v>
      </c>
      <c r="E257" s="3">
        <f t="shared" si="10"/>
        <v>163800.70008321587</v>
      </c>
      <c r="F257" s="4">
        <f>('Owner Occupier'!$H$24-'Owner Occupier'!$D$52)/('Owner Occupier'!$D$56-'Owner Occupier'!$D$52)*B257</f>
        <v>611.89341656722559</v>
      </c>
      <c r="G257" s="4">
        <f t="shared" si="11"/>
        <v>102748.47682219971</v>
      </c>
    </row>
    <row r="258" spans="1:7" x14ac:dyDescent="0.25">
      <c r="A258">
        <v>255</v>
      </c>
      <c r="B258" s="4">
        <f>-PPMT('Owner Occupier'!$D$41/12,'FHA Amotization'!$A258,360,'Owner Occupier'!$D$40,0,0)</f>
        <v>1276.035520565164</v>
      </c>
      <c r="C258" s="4">
        <f>-IPMT('Owner Occupier'!$D$41/12,'FHA Amotization'!$A258,360,'Owner Occupier'!$D$40,0,0)</f>
        <v>580.12747946138973</v>
      </c>
      <c r="D258" s="4">
        <f t="shared" si="9"/>
        <v>1856.1630000265536</v>
      </c>
      <c r="E258" s="3">
        <f t="shared" si="10"/>
        <v>162524.66456265069</v>
      </c>
      <c r="F258" s="4">
        <f>('Owner Occupier'!$H$24-'Owner Occupier'!$D$52)/('Owner Occupier'!$D$56-'Owner Occupier'!$D$52)*B258</f>
        <v>614.06053908423462</v>
      </c>
      <c r="G258" s="4">
        <f t="shared" si="11"/>
        <v>103362.53736128395</v>
      </c>
    </row>
    <row r="259" spans="1:7" x14ac:dyDescent="0.25">
      <c r="A259">
        <v>256</v>
      </c>
      <c r="B259" s="4">
        <f>-PPMT('Owner Occupier'!$D$41/12,'FHA Amotization'!$A259,360,'Owner Occupier'!$D$40,0,0)</f>
        <v>1280.5548130338323</v>
      </c>
      <c r="C259" s="4">
        <f>-IPMT('Owner Occupier'!$D$41/12,'FHA Amotization'!$A259,360,'Owner Occupier'!$D$40,0,0)</f>
        <v>575.60818699272136</v>
      </c>
      <c r="D259" s="4">
        <f t="shared" si="9"/>
        <v>1856.1630000265536</v>
      </c>
      <c r="E259" s="3">
        <f t="shared" si="10"/>
        <v>161244.10974961685</v>
      </c>
      <c r="F259" s="4">
        <f>('Owner Occupier'!$H$24-'Owner Occupier'!$D$52)/('Owner Occupier'!$D$56-'Owner Occupier'!$D$52)*B259</f>
        <v>616.23533682682455</v>
      </c>
      <c r="G259" s="4">
        <f t="shared" si="11"/>
        <v>103978.77269811077</v>
      </c>
    </row>
    <row r="260" spans="1:7" x14ac:dyDescent="0.25">
      <c r="A260">
        <v>257</v>
      </c>
      <c r="B260" s="4">
        <f>-PPMT('Owner Occupier'!$D$41/12,'FHA Amotization'!$A260,360,'Owner Occupier'!$D$40,0,0)</f>
        <v>1285.0901113299938</v>
      </c>
      <c r="C260" s="4">
        <f>-IPMT('Owner Occupier'!$D$41/12,'FHA Amotization'!$A260,360,'Owner Occupier'!$D$40,0,0)</f>
        <v>571.07288869655986</v>
      </c>
      <c r="D260" s="4">
        <f t="shared" si="9"/>
        <v>1856.1630000265536</v>
      </c>
      <c r="E260" s="3">
        <f t="shared" si="10"/>
        <v>159959.01963828685</v>
      </c>
      <c r="F260" s="4">
        <f>('Owner Occupier'!$H$24-'Owner Occupier'!$D$52)/('Owner Occupier'!$D$56-'Owner Occupier'!$D$52)*B260</f>
        <v>618.41783697808626</v>
      </c>
      <c r="G260" s="4">
        <f t="shared" si="11"/>
        <v>104597.19053508886</v>
      </c>
    </row>
    <row r="261" spans="1:7" x14ac:dyDescent="0.25">
      <c r="A261">
        <v>258</v>
      </c>
      <c r="B261" s="4">
        <f>-PPMT('Owner Occupier'!$D$41/12,'FHA Amotization'!$A261,360,'Owner Occupier'!$D$40,0,0)</f>
        <v>1289.6414721409542</v>
      </c>
      <c r="C261" s="4">
        <f>-IPMT('Owner Occupier'!$D$41/12,'FHA Amotization'!$A261,360,'Owner Occupier'!$D$40,0,0)</f>
        <v>566.52152788559943</v>
      </c>
      <c r="D261" s="4">
        <f t="shared" ref="D261:D324" si="12">B261+C261</f>
        <v>1856.1630000265536</v>
      </c>
      <c r="E261" s="3">
        <f t="shared" si="10"/>
        <v>158669.37816614588</v>
      </c>
      <c r="F261" s="4">
        <f>('Owner Occupier'!$H$24-'Owner Occupier'!$D$52)/('Owner Occupier'!$D$56-'Owner Occupier'!$D$52)*B261</f>
        <v>620.6080668173837</v>
      </c>
      <c r="G261" s="4">
        <f t="shared" si="11"/>
        <v>105217.79860190624</v>
      </c>
    </row>
    <row r="262" spans="1:7" x14ac:dyDescent="0.25">
      <c r="A262">
        <v>259</v>
      </c>
      <c r="B262" s="4">
        <f>-PPMT('Owner Occupier'!$D$41/12,'FHA Amotization'!$A262,360,'Owner Occupier'!$D$40,0,0)</f>
        <v>1294.2089523547868</v>
      </c>
      <c r="C262" s="4">
        <f>-IPMT('Owner Occupier'!$D$41/12,'FHA Amotization'!$A262,360,'Owner Occupier'!$D$40,0,0)</f>
        <v>561.95404767176694</v>
      </c>
      <c r="D262" s="4">
        <f t="shared" si="12"/>
        <v>1856.1630000265536</v>
      </c>
      <c r="E262" s="3">
        <f t="shared" ref="E262:E325" si="13">E261-B262</f>
        <v>157375.16921379109</v>
      </c>
      <c r="F262" s="4">
        <f>('Owner Occupier'!$H$24-'Owner Occupier'!$D$52)/('Owner Occupier'!$D$56-'Owner Occupier'!$D$52)*B262</f>
        <v>622.80605372069522</v>
      </c>
      <c r="G262" s="4">
        <f t="shared" ref="G262:G325" si="14">F262+G261</f>
        <v>105840.60465562693</v>
      </c>
    </row>
    <row r="263" spans="1:7" x14ac:dyDescent="0.25">
      <c r="A263">
        <v>260</v>
      </c>
      <c r="B263" s="4">
        <f>-PPMT('Owner Occupier'!$D$41/12,'FHA Amotization'!$A263,360,'Owner Occupier'!$D$40,0,0)</f>
        <v>1298.7926090610433</v>
      </c>
      <c r="C263" s="4">
        <f>-IPMT('Owner Occupier'!$D$41/12,'FHA Amotization'!$A263,360,'Owner Occupier'!$D$40,0,0)</f>
        <v>557.3703909655103</v>
      </c>
      <c r="D263" s="4">
        <f t="shared" si="12"/>
        <v>1856.1630000265536</v>
      </c>
      <c r="E263" s="3">
        <f t="shared" si="13"/>
        <v>156076.37660473003</v>
      </c>
      <c r="F263" s="4">
        <f>('Owner Occupier'!$H$24-'Owner Occupier'!$D$52)/('Owner Occupier'!$D$56-'Owner Occupier'!$D$52)*B263</f>
        <v>625.01182516095605</v>
      </c>
      <c r="G263" s="4">
        <f t="shared" si="14"/>
        <v>106465.61648078788</v>
      </c>
    </row>
    <row r="264" spans="1:7" x14ac:dyDescent="0.25">
      <c r="A264">
        <v>261</v>
      </c>
      <c r="B264" s="4">
        <f>-PPMT('Owner Occupier'!$D$41/12,'FHA Amotization'!$A264,360,'Owner Occupier'!$D$40,0,0)</f>
        <v>1303.3924995514676</v>
      </c>
      <c r="C264" s="4">
        <f>-IPMT('Owner Occupier'!$D$41/12,'FHA Amotization'!$A264,360,'Owner Occupier'!$D$40,0,0)</f>
        <v>552.77050047508578</v>
      </c>
      <c r="D264" s="4">
        <f t="shared" si="12"/>
        <v>1856.1630000265534</v>
      </c>
      <c r="E264" s="3">
        <f t="shared" si="13"/>
        <v>154772.98410517856</v>
      </c>
      <c r="F264" s="4">
        <f>('Owner Occupier'!$H$24-'Owner Occupier'!$D$52)/('Owner Occupier'!$D$56-'Owner Occupier'!$D$52)*B264</f>
        <v>627.22540870840101</v>
      </c>
      <c r="G264" s="4">
        <f t="shared" si="14"/>
        <v>107092.84188949628</v>
      </c>
    </row>
    <row r="265" spans="1:7" x14ac:dyDescent="0.25">
      <c r="A265">
        <v>262</v>
      </c>
      <c r="B265" s="4">
        <f>-PPMT('Owner Occupier'!$D$41/12,'FHA Amotization'!$A265,360,'Owner Occupier'!$D$40,0,0)</f>
        <v>1308.0086813207124</v>
      </c>
      <c r="C265" s="4">
        <f>-IPMT('Owner Occupier'!$D$41/12,'FHA Amotization'!$A265,360,'Owner Occupier'!$D$40,0,0)</f>
        <v>548.15431870584109</v>
      </c>
      <c r="D265" s="4">
        <f t="shared" si="12"/>
        <v>1856.1630000265536</v>
      </c>
      <c r="E265" s="3">
        <f t="shared" si="13"/>
        <v>153464.97542385786</v>
      </c>
      <c r="F265" s="4">
        <f>('Owner Occupier'!$H$24-'Owner Occupier'!$D$52)/('Owner Occupier'!$D$56-'Owner Occupier'!$D$52)*B265</f>
        <v>629.44683203090995</v>
      </c>
      <c r="G265" s="4">
        <f t="shared" si="14"/>
        <v>107722.28872152719</v>
      </c>
    </row>
    <row r="266" spans="1:7" x14ac:dyDescent="0.25">
      <c r="A266">
        <v>263</v>
      </c>
      <c r="B266" s="4">
        <f>-PPMT('Owner Occupier'!$D$41/12,'FHA Amotization'!$A266,360,'Owner Occupier'!$D$40,0,0)</f>
        <v>1312.6412120670568</v>
      </c>
      <c r="C266" s="4">
        <f>-IPMT('Owner Occupier'!$D$41/12,'FHA Amotization'!$A266,360,'Owner Occupier'!$D$40,0,0)</f>
        <v>543.52178795949692</v>
      </c>
      <c r="D266" s="4">
        <f t="shared" si="12"/>
        <v>1856.1630000265536</v>
      </c>
      <c r="E266" s="3">
        <f t="shared" si="13"/>
        <v>152152.33421179082</v>
      </c>
      <c r="F266" s="4">
        <f>('Owner Occupier'!$H$24-'Owner Occupier'!$D$52)/('Owner Occupier'!$D$56-'Owner Occupier'!$D$52)*B266</f>
        <v>631.67612289435283</v>
      </c>
      <c r="G266" s="4">
        <f t="shared" si="14"/>
        <v>108353.96484442154</v>
      </c>
    </row>
    <row r="267" spans="1:7" x14ac:dyDescent="0.25">
      <c r="A267">
        <v>264</v>
      </c>
      <c r="B267" s="4">
        <f>-PPMT('Owner Occupier'!$D$41/12,'FHA Amotization'!$A267,360,'Owner Occupier'!$D$40,0,0)</f>
        <v>1317.2901496931277</v>
      </c>
      <c r="C267" s="4">
        <f>-IPMT('Owner Occupier'!$D$41/12,'FHA Amotization'!$A267,360,'Owner Occupier'!$D$40,0,0)</f>
        <v>538.87285033342619</v>
      </c>
      <c r="D267" s="4">
        <f t="shared" si="12"/>
        <v>1856.1630000265538</v>
      </c>
      <c r="E267" s="3">
        <f t="shared" si="13"/>
        <v>150835.0440620977</v>
      </c>
      <c r="F267" s="4">
        <f>('Owner Occupier'!$H$24-'Owner Occupier'!$D$52)/('Owner Occupier'!$D$56-'Owner Occupier'!$D$52)*B267</f>
        <v>633.91330916293703</v>
      </c>
      <c r="G267" s="4">
        <f t="shared" si="14"/>
        <v>108987.87815358448</v>
      </c>
    </row>
    <row r="268" spans="1:7" x14ac:dyDescent="0.25">
      <c r="A268">
        <v>265</v>
      </c>
      <c r="B268" s="4">
        <f>-PPMT('Owner Occupier'!$D$41/12,'FHA Amotization'!$A268,360,'Owner Occupier'!$D$40,0,0)</f>
        <v>1321.9555523066242</v>
      </c>
      <c r="C268" s="4">
        <f>-IPMT('Owner Occupier'!$D$41/12,'FHA Amotization'!$A268,360,'Owner Occupier'!$D$40,0,0)</f>
        <v>534.20744771992952</v>
      </c>
      <c r="D268" s="4">
        <f t="shared" si="12"/>
        <v>1856.1630000265536</v>
      </c>
      <c r="E268" s="3">
        <f t="shared" si="13"/>
        <v>149513.08850979107</v>
      </c>
      <c r="F268" s="4">
        <f>('Owner Occupier'!$H$24-'Owner Occupier'!$D$52)/('Owner Occupier'!$D$56-'Owner Occupier'!$D$52)*B268</f>
        <v>636.15841879955576</v>
      </c>
      <c r="G268" s="4">
        <f t="shared" si="14"/>
        <v>109624.03657238404</v>
      </c>
    </row>
    <row r="269" spans="1:7" x14ac:dyDescent="0.25">
      <c r="A269">
        <v>266</v>
      </c>
      <c r="B269" s="4">
        <f>-PPMT('Owner Occupier'!$D$41/12,'FHA Amotization'!$A269,360,'Owner Occupier'!$D$40,0,0)</f>
        <v>1326.6374782210435</v>
      </c>
      <c r="C269" s="4">
        <f>-IPMT('Owner Occupier'!$D$41/12,'FHA Amotization'!$A269,360,'Owner Occupier'!$D$40,0,0)</f>
        <v>529.52552180551027</v>
      </c>
      <c r="D269" s="4">
        <f t="shared" si="12"/>
        <v>1856.1630000265536</v>
      </c>
      <c r="E269" s="3">
        <f t="shared" si="13"/>
        <v>148186.45103157003</v>
      </c>
      <c r="F269" s="4">
        <f>('Owner Occupier'!$H$24-'Owner Occupier'!$D$52)/('Owner Occupier'!$D$56-'Owner Occupier'!$D$52)*B269</f>
        <v>638.41147986613748</v>
      </c>
      <c r="G269" s="4">
        <f t="shared" si="14"/>
        <v>110262.44805225017</v>
      </c>
    </row>
    <row r="270" spans="1:7" x14ac:dyDescent="0.25">
      <c r="A270">
        <v>267</v>
      </c>
      <c r="B270" s="4">
        <f>-PPMT('Owner Occupier'!$D$41/12,'FHA Amotization'!$A270,360,'Owner Occupier'!$D$40,0,0)</f>
        <v>1331.3359859564096</v>
      </c>
      <c r="C270" s="4">
        <f>-IPMT('Owner Occupier'!$D$41/12,'FHA Amotization'!$A270,360,'Owner Occupier'!$D$40,0,0)</f>
        <v>524.82701407014406</v>
      </c>
      <c r="D270" s="4">
        <f t="shared" si="12"/>
        <v>1856.1630000265536</v>
      </c>
      <c r="E270" s="3">
        <f t="shared" si="13"/>
        <v>146855.11504561361</v>
      </c>
      <c r="F270" s="4">
        <f>('Owner Occupier'!$H$24-'Owner Occupier'!$D$52)/('Owner Occupier'!$D$56-'Owner Occupier'!$D$52)*B270</f>
        <v>640.6725205239967</v>
      </c>
      <c r="G270" s="4">
        <f t="shared" si="14"/>
        <v>110903.12057277416</v>
      </c>
    </row>
    <row r="271" spans="1:7" x14ac:dyDescent="0.25">
      <c r="A271">
        <v>268</v>
      </c>
      <c r="B271" s="4">
        <f>-PPMT('Owner Occupier'!$D$41/12,'FHA Amotization'!$A271,360,'Owner Occupier'!$D$40,0,0)</f>
        <v>1336.0511342400052</v>
      </c>
      <c r="C271" s="4">
        <f>-IPMT('Owner Occupier'!$D$41/12,'FHA Amotization'!$A271,360,'Owner Occupier'!$D$40,0,0)</f>
        <v>520.11186578654849</v>
      </c>
      <c r="D271" s="4">
        <f t="shared" si="12"/>
        <v>1856.1630000265536</v>
      </c>
      <c r="E271" s="3">
        <f t="shared" si="13"/>
        <v>145519.06391137361</v>
      </c>
      <c r="F271" s="4">
        <f>('Owner Occupier'!$H$24-'Owner Occupier'!$D$52)/('Owner Occupier'!$D$56-'Owner Occupier'!$D$52)*B271</f>
        <v>642.94156903418582</v>
      </c>
      <c r="G271" s="4">
        <f t="shared" si="14"/>
        <v>111546.06214180835</v>
      </c>
    </row>
    <row r="272" spans="1:7" x14ac:dyDescent="0.25">
      <c r="A272">
        <v>269</v>
      </c>
      <c r="B272" s="4">
        <f>-PPMT('Owner Occupier'!$D$41/12,'FHA Amotization'!$A272,360,'Owner Occupier'!$D$40,0,0)</f>
        <v>1340.7829820071051</v>
      </c>
      <c r="C272" s="4">
        <f>-IPMT('Owner Occupier'!$D$41/12,'FHA Amotization'!$A272,360,'Owner Occupier'!$D$40,0,0)</f>
        <v>515.38001801944847</v>
      </c>
      <c r="D272" s="4">
        <f t="shared" si="12"/>
        <v>1856.1630000265536</v>
      </c>
      <c r="E272" s="3">
        <f t="shared" si="13"/>
        <v>144178.28092936651</v>
      </c>
      <c r="F272" s="4">
        <f>('Owner Occupier'!$H$24-'Owner Occupier'!$D$52)/('Owner Occupier'!$D$56-'Owner Occupier'!$D$52)*B272</f>
        <v>645.21865375784853</v>
      </c>
      <c r="G272" s="4">
        <f t="shared" si="14"/>
        <v>112191.2807955662</v>
      </c>
    </row>
    <row r="273" spans="1:7" x14ac:dyDescent="0.25">
      <c r="A273">
        <v>270</v>
      </c>
      <c r="B273" s="4">
        <f>-PPMT('Owner Occupier'!$D$41/12,'FHA Amotization'!$A273,360,'Owner Occupier'!$D$40,0,0)</f>
        <v>1345.5315884017136</v>
      </c>
      <c r="C273" s="4">
        <f>-IPMT('Owner Occupier'!$D$41/12,'FHA Amotization'!$A273,360,'Owner Occupier'!$D$40,0,0)</f>
        <v>510.63141162483993</v>
      </c>
      <c r="D273" s="4">
        <f t="shared" si="12"/>
        <v>1856.1630000265536</v>
      </c>
      <c r="E273" s="3">
        <f t="shared" si="13"/>
        <v>142832.7493409648</v>
      </c>
      <c r="F273" s="4">
        <f>('Owner Occupier'!$H$24-'Owner Occupier'!$D$52)/('Owner Occupier'!$D$56-'Owner Occupier'!$D$52)*B273</f>
        <v>647.50380315657424</v>
      </c>
      <c r="G273" s="4">
        <f t="shared" si="14"/>
        <v>112838.78459872278</v>
      </c>
    </row>
    <row r="274" spans="1:7" x14ac:dyDescent="0.25">
      <c r="A274">
        <v>271</v>
      </c>
      <c r="B274" s="4">
        <f>-PPMT('Owner Occupier'!$D$41/12,'FHA Amotization'!$A274,360,'Owner Occupier'!$D$40,0,0)</f>
        <v>1350.2970127773031</v>
      </c>
      <c r="C274" s="4">
        <f>-IPMT('Owner Occupier'!$D$41/12,'FHA Amotization'!$A274,360,'Owner Occupier'!$D$40,0,0)</f>
        <v>505.86598724925045</v>
      </c>
      <c r="D274" s="4">
        <f t="shared" si="12"/>
        <v>1856.1630000265536</v>
      </c>
      <c r="E274" s="3">
        <f t="shared" si="13"/>
        <v>141482.4523281875</v>
      </c>
      <c r="F274" s="4">
        <f>('Owner Occupier'!$H$24-'Owner Occupier'!$D$52)/('Owner Occupier'!$D$56-'Owner Occupier'!$D$52)*B274</f>
        <v>649.79704579275381</v>
      </c>
      <c r="G274" s="4">
        <f t="shared" si="14"/>
        <v>113488.58164451554</v>
      </c>
    </row>
    <row r="275" spans="1:7" x14ac:dyDescent="0.25">
      <c r="A275">
        <v>272</v>
      </c>
      <c r="B275" s="4">
        <f>-PPMT('Owner Occupier'!$D$41/12,'FHA Amotization'!$A275,360,'Owner Occupier'!$D$40,0,0)</f>
        <v>1355.0793146975561</v>
      </c>
      <c r="C275" s="4">
        <f>-IPMT('Owner Occupier'!$D$41/12,'FHA Amotization'!$A275,360,'Owner Occupier'!$D$40,0,0)</f>
        <v>501.08368532899766</v>
      </c>
      <c r="D275" s="4">
        <f t="shared" si="12"/>
        <v>1856.1630000265538</v>
      </c>
      <c r="E275" s="3">
        <f t="shared" si="13"/>
        <v>140127.37301348994</v>
      </c>
      <c r="F275" s="4">
        <f>('Owner Occupier'!$H$24-'Owner Occupier'!$D$52)/('Owner Occupier'!$D$56-'Owner Occupier'!$D$52)*B275</f>
        <v>652.09841032993654</v>
      </c>
      <c r="G275" s="4">
        <f t="shared" si="14"/>
        <v>114140.68005484548</v>
      </c>
    </row>
    <row r="276" spans="1:7" x14ac:dyDescent="0.25">
      <c r="A276">
        <v>273</v>
      </c>
      <c r="B276" s="4">
        <f>-PPMT('Owner Occupier'!$D$41/12,'FHA Amotization'!$A276,360,'Owner Occupier'!$D$40,0,0)</f>
        <v>1359.8785539371099</v>
      </c>
      <c r="C276" s="4">
        <f>-IPMT('Owner Occupier'!$D$41/12,'FHA Amotization'!$A276,360,'Owner Occupier'!$D$40,0,0)</f>
        <v>496.28444608944375</v>
      </c>
      <c r="D276" s="4">
        <f t="shared" si="12"/>
        <v>1856.1630000265536</v>
      </c>
      <c r="E276" s="3">
        <f t="shared" si="13"/>
        <v>138767.49445955284</v>
      </c>
      <c r="F276" s="4">
        <f>('Owner Occupier'!$H$24-'Owner Occupier'!$D$52)/('Owner Occupier'!$D$56-'Owner Occupier'!$D$52)*B276</f>
        <v>654.4079255331884</v>
      </c>
      <c r="G276" s="4">
        <f t="shared" si="14"/>
        <v>114795.08798037867</v>
      </c>
    </row>
    <row r="277" spans="1:7" x14ac:dyDescent="0.25">
      <c r="A277">
        <v>274</v>
      </c>
      <c r="B277" s="4">
        <f>-PPMT('Owner Occupier'!$D$41/12,'FHA Amotization'!$A277,360,'Owner Occupier'!$D$40,0,0)</f>
        <v>1364.6947904823039</v>
      </c>
      <c r="C277" s="4">
        <f>-IPMT('Owner Occupier'!$D$41/12,'FHA Amotization'!$A277,360,'Owner Occupier'!$D$40,0,0)</f>
        <v>491.46820954424987</v>
      </c>
      <c r="D277" s="4">
        <f t="shared" si="12"/>
        <v>1856.1630000265538</v>
      </c>
      <c r="E277" s="3">
        <f t="shared" si="13"/>
        <v>137402.79966907052</v>
      </c>
      <c r="F277" s="4">
        <f>('Owner Occupier'!$H$24-'Owner Occupier'!$D$52)/('Owner Occupier'!$D$56-'Owner Occupier'!$D$52)*B277</f>
        <v>656.72562026945172</v>
      </c>
      <c r="G277" s="4">
        <f t="shared" si="14"/>
        <v>115451.81360064812</v>
      </c>
    </row>
    <row r="278" spans="1:7" x14ac:dyDescent="0.25">
      <c r="A278">
        <v>275</v>
      </c>
      <c r="B278" s="4">
        <f>-PPMT('Owner Occupier'!$D$41/12,'FHA Amotization'!$A278,360,'Owner Occupier'!$D$40,0,0)</f>
        <v>1369.5280845319287</v>
      </c>
      <c r="C278" s="4">
        <f>-IPMT('Owner Occupier'!$D$41/12,'FHA Amotization'!$A278,360,'Owner Occupier'!$D$40,0,0)</f>
        <v>486.63491549462498</v>
      </c>
      <c r="D278" s="4">
        <f t="shared" si="12"/>
        <v>1856.1630000265536</v>
      </c>
      <c r="E278" s="3">
        <f t="shared" si="13"/>
        <v>136033.2715845386</v>
      </c>
      <c r="F278" s="4">
        <f>('Owner Occupier'!$H$24-'Owner Occupier'!$D$52)/('Owner Occupier'!$D$56-'Owner Occupier'!$D$52)*B278</f>
        <v>659.05152350790604</v>
      </c>
      <c r="G278" s="4">
        <f t="shared" si="14"/>
        <v>116110.86512415603</v>
      </c>
    </row>
    <row r="279" spans="1:7" x14ac:dyDescent="0.25">
      <c r="A279">
        <v>276</v>
      </c>
      <c r="B279" s="4">
        <f>-PPMT('Owner Occupier'!$D$41/12,'FHA Amotization'!$A279,360,'Owner Occupier'!$D$40,0,0)</f>
        <v>1374.3784964979791</v>
      </c>
      <c r="C279" s="4">
        <f>-IPMT('Owner Occupier'!$D$41/12,'FHA Amotization'!$A279,360,'Owner Occupier'!$D$40,0,0)</f>
        <v>481.78450352857453</v>
      </c>
      <c r="D279" s="4">
        <f t="shared" si="12"/>
        <v>1856.1630000265536</v>
      </c>
      <c r="E279" s="3">
        <f t="shared" si="13"/>
        <v>134658.89308804061</v>
      </c>
      <c r="F279" s="4">
        <f>('Owner Occupier'!$H$24-'Owner Occupier'!$D$52)/('Owner Occupier'!$D$56-'Owner Occupier'!$D$52)*B279</f>
        <v>661.38566432032985</v>
      </c>
      <c r="G279" s="4">
        <f t="shared" si="14"/>
        <v>116772.25078847636</v>
      </c>
    </row>
    <row r="280" spans="1:7" x14ac:dyDescent="0.25">
      <c r="A280">
        <v>277</v>
      </c>
      <c r="B280" s="4">
        <f>-PPMT('Owner Occupier'!$D$41/12,'FHA Amotization'!$A280,360,'Owner Occupier'!$D$40,0,0)</f>
        <v>1379.2460870064094</v>
      </c>
      <c r="C280" s="4">
        <f>-IPMT('Owner Occupier'!$D$41/12,'FHA Amotization'!$A280,360,'Owner Occupier'!$D$40,0,0)</f>
        <v>476.91691302014408</v>
      </c>
      <c r="D280" s="4">
        <f t="shared" si="12"/>
        <v>1856.1630000265536</v>
      </c>
      <c r="E280" s="3">
        <f t="shared" si="13"/>
        <v>133279.6470010342</v>
      </c>
      <c r="F280" s="4">
        <f>('Owner Occupier'!$H$24-'Owner Occupier'!$D$52)/('Owner Occupier'!$D$56-'Owner Occupier'!$D$52)*B280</f>
        <v>663.7280718814643</v>
      </c>
      <c r="G280" s="4">
        <f t="shared" si="14"/>
        <v>117435.97886035782</v>
      </c>
    </row>
    <row r="281" spans="1:7" x14ac:dyDescent="0.25">
      <c r="A281">
        <v>278</v>
      </c>
      <c r="B281" s="4">
        <f>-PPMT('Owner Occupier'!$D$41/12,'FHA Amotization'!$A281,360,'Owner Occupier'!$D$40,0,0)</f>
        <v>1384.1309168978905</v>
      </c>
      <c r="C281" s="4">
        <f>-IPMT('Owner Occupier'!$D$41/12,'FHA Amotization'!$A281,360,'Owner Occupier'!$D$40,0,0)</f>
        <v>472.03208312866303</v>
      </c>
      <c r="D281" s="4">
        <f t="shared" si="12"/>
        <v>1856.1630000265536</v>
      </c>
      <c r="E281" s="3">
        <f t="shared" si="13"/>
        <v>131895.51608413632</v>
      </c>
      <c r="F281" s="4">
        <f>('Owner Occupier'!$H$24-'Owner Occupier'!$D$52)/('Owner Occupier'!$D$56-'Owner Occupier'!$D$52)*B281</f>
        <v>666.07877546937789</v>
      </c>
      <c r="G281" s="4">
        <f t="shared" si="14"/>
        <v>118102.05763582719</v>
      </c>
    </row>
    <row r="282" spans="1:7" x14ac:dyDescent="0.25">
      <c r="A282">
        <v>279</v>
      </c>
      <c r="B282" s="4">
        <f>-PPMT('Owner Occupier'!$D$41/12,'FHA Amotization'!$A282,360,'Owner Occupier'!$D$40,0,0)</f>
        <v>1389.0330472285707</v>
      </c>
      <c r="C282" s="4">
        <f>-IPMT('Owner Occupier'!$D$41/12,'FHA Amotization'!$A282,360,'Owner Occupier'!$D$40,0,0)</f>
        <v>467.12995279798298</v>
      </c>
      <c r="D282" s="4">
        <f t="shared" si="12"/>
        <v>1856.1630000265536</v>
      </c>
      <c r="E282" s="3">
        <f t="shared" si="13"/>
        <v>130506.48303690775</v>
      </c>
      <c r="F282" s="4">
        <f>('Owner Occupier'!$H$24-'Owner Occupier'!$D$52)/('Owner Occupier'!$D$56-'Owner Occupier'!$D$52)*B282</f>
        <v>668.43780446583196</v>
      </c>
      <c r="G282" s="4">
        <f t="shared" si="14"/>
        <v>118770.49544029303</v>
      </c>
    </row>
    <row r="283" spans="1:7" x14ac:dyDescent="0.25">
      <c r="A283">
        <v>280</v>
      </c>
      <c r="B283" s="4">
        <f>-PPMT('Owner Occupier'!$D$41/12,'FHA Amotization'!$A283,360,'Owner Occupier'!$D$40,0,0)</f>
        <v>1393.9525392708385</v>
      </c>
      <c r="C283" s="4">
        <f>-IPMT('Owner Occupier'!$D$41/12,'FHA Amotization'!$A283,360,'Owner Occupier'!$D$40,0,0)</f>
        <v>462.21046075571513</v>
      </c>
      <c r="D283" s="4">
        <f t="shared" si="12"/>
        <v>1856.1630000265536</v>
      </c>
      <c r="E283" s="3">
        <f t="shared" si="13"/>
        <v>129112.53049763691</v>
      </c>
      <c r="F283" s="4">
        <f>('Owner Occupier'!$H$24-'Owner Occupier'!$D$52)/('Owner Occupier'!$D$56-'Owner Occupier'!$D$52)*B283</f>
        <v>670.8051883566485</v>
      </c>
      <c r="G283" s="4">
        <f t="shared" si="14"/>
        <v>119441.30062864968</v>
      </c>
    </row>
    <row r="284" spans="1:7" x14ac:dyDescent="0.25">
      <c r="A284">
        <v>281</v>
      </c>
      <c r="B284" s="4">
        <f>-PPMT('Owner Occupier'!$D$41/12,'FHA Amotization'!$A284,360,'Owner Occupier'!$D$40,0,0)</f>
        <v>1398.8894545140895</v>
      </c>
      <c r="C284" s="4">
        <f>-IPMT('Owner Occupier'!$D$41/12,'FHA Amotization'!$A284,360,'Owner Occupier'!$D$40,0,0)</f>
        <v>457.2735455124643</v>
      </c>
      <c r="D284" s="4">
        <f t="shared" si="12"/>
        <v>1856.1630000265538</v>
      </c>
      <c r="E284" s="3">
        <f t="shared" si="13"/>
        <v>127713.64104312281</v>
      </c>
      <c r="F284" s="4">
        <f>('Owner Occupier'!$H$24-'Owner Occupier'!$D$52)/('Owner Occupier'!$D$56-'Owner Occupier'!$D$52)*B284</f>
        <v>673.18095673207824</v>
      </c>
      <c r="G284" s="4">
        <f t="shared" si="14"/>
        <v>120114.48158538176</v>
      </c>
    </row>
    <row r="285" spans="1:7" x14ac:dyDescent="0.25">
      <c r="A285">
        <v>282</v>
      </c>
      <c r="B285" s="4">
        <f>-PPMT('Owner Occupier'!$D$41/12,'FHA Amotization'!$A285,360,'Owner Occupier'!$D$40,0,0)</f>
        <v>1403.8438546654936</v>
      </c>
      <c r="C285" s="4">
        <f>-IPMT('Owner Occupier'!$D$41/12,'FHA Amotization'!$A285,360,'Owner Occupier'!$D$40,0,0)</f>
        <v>452.31914536106018</v>
      </c>
      <c r="D285" s="4">
        <f t="shared" si="12"/>
        <v>1856.1630000265538</v>
      </c>
      <c r="E285" s="3">
        <f t="shared" si="13"/>
        <v>126309.79718845732</v>
      </c>
      <c r="F285" s="4">
        <f>('Owner Occupier'!$H$24-'Owner Occupier'!$D$52)/('Owner Occupier'!$D$56-'Owner Occupier'!$D$52)*B285</f>
        <v>675.56513928717106</v>
      </c>
      <c r="G285" s="4">
        <f t="shared" si="14"/>
        <v>120790.04672466892</v>
      </c>
    </row>
    <row r="286" spans="1:7" x14ac:dyDescent="0.25">
      <c r="A286">
        <v>283</v>
      </c>
      <c r="B286" s="4">
        <f>-PPMT('Owner Occupier'!$D$41/12,'FHA Amotization'!$A286,360,'Owner Occupier'!$D$40,0,0)</f>
        <v>1408.8158016507671</v>
      </c>
      <c r="C286" s="4">
        <f>-IPMT('Owner Occupier'!$D$41/12,'FHA Amotization'!$A286,360,'Owner Occupier'!$D$40,0,0)</f>
        <v>447.3471983757866</v>
      </c>
      <c r="D286" s="4">
        <f t="shared" si="12"/>
        <v>1856.1630000265536</v>
      </c>
      <c r="E286" s="3">
        <f t="shared" si="13"/>
        <v>124900.98138680655</v>
      </c>
      <c r="F286" s="4">
        <f>('Owner Occupier'!$H$24-'Owner Occupier'!$D$52)/('Owner Occupier'!$D$56-'Owner Occupier'!$D$52)*B286</f>
        <v>677.95776582214637</v>
      </c>
      <c r="G286" s="4">
        <f t="shared" si="14"/>
        <v>121468.00449049108</v>
      </c>
    </row>
    <row r="287" spans="1:7" x14ac:dyDescent="0.25">
      <c r="A287">
        <v>284</v>
      </c>
      <c r="B287" s="4">
        <f>-PPMT('Owner Occupier'!$D$41/12,'FHA Amotization'!$A287,360,'Owner Occupier'!$D$40,0,0)</f>
        <v>1413.8053576149471</v>
      </c>
      <c r="C287" s="4">
        <f>-IPMT('Owner Occupier'!$D$41/12,'FHA Amotization'!$A287,360,'Owner Occupier'!$D$40,0,0)</f>
        <v>442.35764241160678</v>
      </c>
      <c r="D287" s="4">
        <f t="shared" si="12"/>
        <v>1856.1630000265538</v>
      </c>
      <c r="E287" s="3">
        <f t="shared" si="13"/>
        <v>123487.1760291916</v>
      </c>
      <c r="F287" s="4">
        <f>('Owner Occupier'!$H$24-'Owner Occupier'!$D$52)/('Owner Occupier'!$D$56-'Owner Occupier'!$D$52)*B287</f>
        <v>680.35886624276657</v>
      </c>
      <c r="G287" s="4">
        <f t="shared" si="14"/>
        <v>122148.36335673384</v>
      </c>
    </row>
    <row r="288" spans="1:7" x14ac:dyDescent="0.25">
      <c r="A288">
        <v>285</v>
      </c>
      <c r="B288" s="4">
        <f>-PPMT('Owner Occupier'!$D$41/12,'FHA Amotization'!$A288,360,'Owner Occupier'!$D$40,0,0)</f>
        <v>1418.8125849231667</v>
      </c>
      <c r="C288" s="4">
        <f>-IPMT('Owner Occupier'!$D$41/12,'FHA Amotization'!$A288,360,'Owner Occupier'!$D$40,0,0)</f>
        <v>437.35041510338721</v>
      </c>
      <c r="D288" s="4">
        <f t="shared" si="12"/>
        <v>1856.1630000265538</v>
      </c>
      <c r="E288" s="3">
        <f t="shared" si="13"/>
        <v>122068.36344426843</v>
      </c>
      <c r="F288" s="4">
        <f>('Owner Occupier'!$H$24-'Owner Occupier'!$D$52)/('Owner Occupier'!$D$56-'Owner Occupier'!$D$52)*B288</f>
        <v>682.76847056070972</v>
      </c>
      <c r="G288" s="4">
        <f t="shared" si="14"/>
        <v>122831.13182729455</v>
      </c>
    </row>
    <row r="289" spans="1:7" x14ac:dyDescent="0.25">
      <c r="A289">
        <v>286</v>
      </c>
      <c r="B289" s="4">
        <f>-PPMT('Owner Occupier'!$D$41/12,'FHA Amotization'!$A289,360,'Owner Occupier'!$D$40,0,0)</f>
        <v>1423.8375461614362</v>
      </c>
      <c r="C289" s="4">
        <f>-IPMT('Owner Occupier'!$D$41/12,'FHA Amotization'!$A289,360,'Owner Occupier'!$D$40,0,0)</f>
        <v>432.32545386511765</v>
      </c>
      <c r="D289" s="4">
        <f t="shared" si="12"/>
        <v>1856.1630000265538</v>
      </c>
      <c r="E289" s="3">
        <f t="shared" si="13"/>
        <v>120644.52589810699</v>
      </c>
      <c r="F289" s="4">
        <f>('Owner Occupier'!$H$24-'Owner Occupier'!$D$52)/('Owner Occupier'!$D$56-'Owner Occupier'!$D$52)*B289</f>
        <v>685.18660889394562</v>
      </c>
      <c r="G289" s="4">
        <f t="shared" si="14"/>
        <v>123516.31843618849</v>
      </c>
    </row>
    <row r="290" spans="1:7" x14ac:dyDescent="0.25">
      <c r="A290">
        <v>287</v>
      </c>
      <c r="B290" s="4">
        <f>-PPMT('Owner Occupier'!$D$41/12,'FHA Amotization'!$A290,360,'Owner Occupier'!$D$40,0,0)</f>
        <v>1428.8803041374244</v>
      </c>
      <c r="C290" s="4">
        <f>-IPMT('Owner Occupier'!$D$41/12,'FHA Amotization'!$A290,360,'Owner Occupier'!$D$40,0,0)</f>
        <v>427.28269588912917</v>
      </c>
      <c r="D290" s="4">
        <f t="shared" si="12"/>
        <v>1856.1630000265536</v>
      </c>
      <c r="E290" s="3">
        <f t="shared" si="13"/>
        <v>119215.64559396957</v>
      </c>
      <c r="F290" s="4">
        <f>('Owner Occupier'!$H$24-'Owner Occupier'!$D$52)/('Owner Occupier'!$D$56-'Owner Occupier'!$D$52)*B290</f>
        <v>687.61331146711154</v>
      </c>
      <c r="G290" s="4">
        <f t="shared" si="14"/>
        <v>124203.9317476556</v>
      </c>
    </row>
    <row r="291" spans="1:7" x14ac:dyDescent="0.25">
      <c r="A291">
        <v>288</v>
      </c>
      <c r="B291" s="4">
        <f>-PPMT('Owner Occupier'!$D$41/12,'FHA Amotization'!$A291,360,'Owner Occupier'!$D$40,0,0)</f>
        <v>1433.9409218812445</v>
      </c>
      <c r="C291" s="4">
        <f>-IPMT('Owner Occupier'!$D$41/12,'FHA Amotization'!$A291,360,'Owner Occupier'!$D$40,0,0)</f>
        <v>422.22207814530918</v>
      </c>
      <c r="D291" s="4">
        <f t="shared" si="12"/>
        <v>1856.1630000265536</v>
      </c>
      <c r="E291" s="3">
        <f t="shared" si="13"/>
        <v>117781.70467208832</v>
      </c>
      <c r="F291" s="4">
        <f>('Owner Occupier'!$H$24-'Owner Occupier'!$D$52)/('Owner Occupier'!$D$56-'Owner Occupier'!$D$52)*B291</f>
        <v>690.04860861189093</v>
      </c>
      <c r="G291" s="4">
        <f t="shared" si="14"/>
        <v>124893.98035626749</v>
      </c>
    </row>
    <row r="292" spans="1:7" x14ac:dyDescent="0.25">
      <c r="A292">
        <v>289</v>
      </c>
      <c r="B292" s="4">
        <f>-PPMT('Owner Occupier'!$D$41/12,'FHA Amotization'!$A292,360,'Owner Occupier'!$D$40,0,0)</f>
        <v>1439.0194626462405</v>
      </c>
      <c r="C292" s="4">
        <f>-IPMT('Owner Occupier'!$D$41/12,'FHA Amotization'!$A292,360,'Owner Occupier'!$D$40,0,0)</f>
        <v>417.14353738031303</v>
      </c>
      <c r="D292" s="4">
        <f t="shared" si="12"/>
        <v>1856.1630000265536</v>
      </c>
      <c r="E292" s="3">
        <f t="shared" si="13"/>
        <v>116342.68520944208</v>
      </c>
      <c r="F292" s="4">
        <f>('Owner Occupier'!$H$24-'Owner Occupier'!$D$52)/('Owner Occupier'!$D$56-'Owner Occupier'!$D$52)*B292</f>
        <v>692.49253076739137</v>
      </c>
      <c r="G292" s="4">
        <f t="shared" si="14"/>
        <v>125586.47288703489</v>
      </c>
    </row>
    <row r="293" spans="1:7" x14ac:dyDescent="0.25">
      <c r="A293">
        <v>290</v>
      </c>
      <c r="B293" s="4">
        <f>-PPMT('Owner Occupier'!$D$41/12,'FHA Amotization'!$A293,360,'Owner Occupier'!$D$40,0,0)</f>
        <v>1444.1159899097793</v>
      </c>
      <c r="C293" s="4">
        <f>-IPMT('Owner Occupier'!$D$41/12,'FHA Amotization'!$A293,360,'Owner Occupier'!$D$40,0,0)</f>
        <v>412.0470101167744</v>
      </c>
      <c r="D293" s="4">
        <f t="shared" si="12"/>
        <v>1856.1630000265536</v>
      </c>
      <c r="E293" s="3">
        <f t="shared" si="13"/>
        <v>114898.56921953229</v>
      </c>
      <c r="F293" s="4">
        <f>('Owner Occupier'!$H$24-'Owner Occupier'!$D$52)/('Owner Occupier'!$D$56-'Owner Occupier'!$D$52)*B293</f>
        <v>694.94510848052585</v>
      </c>
      <c r="G293" s="4">
        <f t="shared" si="14"/>
        <v>126281.41799551541</v>
      </c>
    </row>
    <row r="294" spans="1:7" x14ac:dyDescent="0.25">
      <c r="A294">
        <v>291</v>
      </c>
      <c r="B294" s="4">
        <f>-PPMT('Owner Occupier'!$D$41/12,'FHA Amotization'!$A294,360,'Owner Occupier'!$D$40,0,0)</f>
        <v>1449.2305673740432</v>
      </c>
      <c r="C294" s="4">
        <f>-IPMT('Owner Occupier'!$D$41/12,'FHA Amotization'!$A294,360,'Owner Occupier'!$D$40,0,0)</f>
        <v>406.9324326525105</v>
      </c>
      <c r="D294" s="4">
        <f t="shared" si="12"/>
        <v>1856.1630000265536</v>
      </c>
      <c r="E294" s="3">
        <f t="shared" si="13"/>
        <v>113449.33865215824</v>
      </c>
      <c r="F294" s="4">
        <f>('Owner Occupier'!$H$24-'Owner Occupier'!$D$52)/('Owner Occupier'!$D$56-'Owner Occupier'!$D$52)*B294</f>
        <v>697.40637240639444</v>
      </c>
      <c r="G294" s="4">
        <f t="shared" si="14"/>
        <v>126978.8243679218</v>
      </c>
    </row>
    <row r="295" spans="1:7" x14ac:dyDescent="0.25">
      <c r="A295">
        <v>292</v>
      </c>
      <c r="B295" s="4">
        <f>-PPMT('Owner Occupier'!$D$41/12,'FHA Amotization'!$A295,360,'Owner Occupier'!$D$40,0,0)</f>
        <v>1454.3632589668262</v>
      </c>
      <c r="C295" s="4">
        <f>-IPMT('Owner Occupier'!$D$41/12,'FHA Amotization'!$A295,360,'Owner Occupier'!$D$40,0,0)</f>
        <v>401.79974105972741</v>
      </c>
      <c r="D295" s="4">
        <f t="shared" si="12"/>
        <v>1856.1630000265536</v>
      </c>
      <c r="E295" s="3">
        <f t="shared" si="13"/>
        <v>111994.97539319142</v>
      </c>
      <c r="F295" s="4">
        <f>('Owner Occupier'!$H$24-'Owner Occupier'!$D$52)/('Owner Occupier'!$D$56-'Owner Occupier'!$D$52)*B295</f>
        <v>699.87635330866703</v>
      </c>
      <c r="G295" s="4">
        <f t="shared" si="14"/>
        <v>127678.70072123046</v>
      </c>
    </row>
    <row r="296" spans="1:7" x14ac:dyDescent="0.25">
      <c r="A296">
        <v>293</v>
      </c>
      <c r="B296" s="4">
        <f>-PPMT('Owner Occupier'!$D$41/12,'FHA Amotization'!$A296,360,'Owner Occupier'!$D$40,0,0)</f>
        <v>1459.514128842334</v>
      </c>
      <c r="C296" s="4">
        <f>-IPMT('Owner Occupier'!$D$41/12,'FHA Amotization'!$A296,360,'Owner Occupier'!$D$40,0,0)</f>
        <v>396.6488711842199</v>
      </c>
      <c r="D296" s="4">
        <f t="shared" si="12"/>
        <v>1856.1630000265538</v>
      </c>
      <c r="E296" s="3">
        <f t="shared" si="13"/>
        <v>110535.46126434908</v>
      </c>
      <c r="F296" s="4">
        <f>('Owner Occupier'!$H$24-'Owner Occupier'!$D$52)/('Owner Occupier'!$D$56-'Owner Occupier'!$D$52)*B296</f>
        <v>702.35508205996871</v>
      </c>
      <c r="G296" s="4">
        <f t="shared" si="14"/>
        <v>128381.05580329042</v>
      </c>
    </row>
    <row r="297" spans="1:7" x14ac:dyDescent="0.25">
      <c r="A297">
        <v>294</v>
      </c>
      <c r="B297" s="4">
        <f>-PPMT('Owner Occupier'!$D$41/12,'FHA Amotization'!$A297,360,'Owner Occupier'!$D$40,0,0)</f>
        <v>1464.6832413819836</v>
      </c>
      <c r="C297" s="4">
        <f>-IPMT('Owner Occupier'!$D$41/12,'FHA Amotization'!$A297,360,'Owner Occupier'!$D$40,0,0)</f>
        <v>391.47975864456998</v>
      </c>
      <c r="D297" s="4">
        <f t="shared" si="12"/>
        <v>1856.1630000265536</v>
      </c>
      <c r="E297" s="3">
        <f t="shared" si="13"/>
        <v>109070.7780229671</v>
      </c>
      <c r="F297" s="4">
        <f>('Owner Occupier'!$H$24-'Owner Occupier'!$D$52)/('Owner Occupier'!$D$56-'Owner Occupier'!$D$52)*B297</f>
        <v>704.84258964226433</v>
      </c>
      <c r="G297" s="4">
        <f t="shared" si="14"/>
        <v>129085.89839293269</v>
      </c>
    </row>
    <row r="298" spans="1:7" x14ac:dyDescent="0.25">
      <c r="A298">
        <v>295</v>
      </c>
      <c r="B298" s="4">
        <f>-PPMT('Owner Occupier'!$D$41/12,'FHA Amotization'!$A298,360,'Owner Occupier'!$D$40,0,0)</f>
        <v>1469.8706611952116</v>
      </c>
      <c r="C298" s="4">
        <f>-IPMT('Owner Occupier'!$D$41/12,'FHA Amotization'!$A298,360,'Owner Occupier'!$D$40,0,0)</f>
        <v>386.29233883134219</v>
      </c>
      <c r="D298" s="4">
        <f t="shared" si="12"/>
        <v>1856.1630000265538</v>
      </c>
      <c r="E298" s="3">
        <f t="shared" si="13"/>
        <v>107600.9073617719</v>
      </c>
      <c r="F298" s="4">
        <f>('Owner Occupier'!$H$24-'Owner Occupier'!$D$52)/('Owner Occupier'!$D$56-'Owner Occupier'!$D$52)*B298</f>
        <v>707.33890714724737</v>
      </c>
      <c r="G298" s="4">
        <f t="shared" si="14"/>
        <v>129793.23730007994</v>
      </c>
    </row>
    <row r="299" spans="1:7" x14ac:dyDescent="0.25">
      <c r="A299">
        <v>296</v>
      </c>
      <c r="B299" s="4">
        <f>-PPMT('Owner Occupier'!$D$41/12,'FHA Amotization'!$A299,360,'Owner Occupier'!$D$40,0,0)</f>
        <v>1475.0764531202778</v>
      </c>
      <c r="C299" s="4">
        <f>-IPMT('Owner Occupier'!$D$41/12,'FHA Amotization'!$A299,360,'Owner Occupier'!$D$40,0,0)</f>
        <v>381.08654690627571</v>
      </c>
      <c r="D299" s="4">
        <f t="shared" si="12"/>
        <v>1856.1630000265536</v>
      </c>
      <c r="E299" s="3">
        <f t="shared" si="13"/>
        <v>106125.83090865162</v>
      </c>
      <c r="F299" s="4">
        <f>('Owner Occupier'!$H$24-'Owner Occupier'!$D$52)/('Owner Occupier'!$D$56-'Owner Occupier'!$D$52)*B299</f>
        <v>709.84406577672712</v>
      </c>
      <c r="G299" s="4">
        <f t="shared" si="14"/>
        <v>130503.08136585666</v>
      </c>
    </row>
    <row r="300" spans="1:7" x14ac:dyDescent="0.25">
      <c r="A300">
        <v>297</v>
      </c>
      <c r="B300" s="4">
        <f>-PPMT('Owner Occupier'!$D$41/12,'FHA Amotization'!$A300,360,'Owner Occupier'!$D$40,0,0)</f>
        <v>1480.3006822250788</v>
      </c>
      <c r="C300" s="4">
        <f>-IPMT('Owner Occupier'!$D$41/12,'FHA Amotization'!$A300,360,'Owner Occupier'!$D$40,0,0)</f>
        <v>375.86231780147472</v>
      </c>
      <c r="D300" s="4">
        <f t="shared" si="12"/>
        <v>1856.1630000265536</v>
      </c>
      <c r="E300" s="3">
        <f t="shared" si="13"/>
        <v>104645.53022642655</v>
      </c>
      <c r="F300" s="4">
        <f>('Owner Occupier'!$H$24-'Owner Occupier'!$D$52)/('Owner Occupier'!$D$56-'Owner Occupier'!$D$52)*B300</f>
        <v>712.35809684301967</v>
      </c>
      <c r="G300" s="4">
        <f t="shared" si="14"/>
        <v>131215.43946269969</v>
      </c>
    </row>
    <row r="301" spans="1:7" x14ac:dyDescent="0.25">
      <c r="A301">
        <v>298</v>
      </c>
      <c r="B301" s="4">
        <f>-PPMT('Owner Occupier'!$D$41/12,'FHA Amotization'!$A301,360,'Owner Occupier'!$D$40,0,0)</f>
        <v>1485.5434138079595</v>
      </c>
      <c r="C301" s="4">
        <f>-IPMT('Owner Occupier'!$D$41/12,'FHA Amotization'!$A301,360,'Owner Occupier'!$D$40,0,0)</f>
        <v>370.61958621859424</v>
      </c>
      <c r="D301" s="4">
        <f t="shared" si="12"/>
        <v>1856.1630000265536</v>
      </c>
      <c r="E301" s="3">
        <f t="shared" si="13"/>
        <v>103159.98681261859</v>
      </c>
      <c r="F301" s="4">
        <f>('Owner Occupier'!$H$24-'Owner Occupier'!$D$52)/('Owner Occupier'!$D$56-'Owner Occupier'!$D$52)*B301</f>
        <v>714.88103176933885</v>
      </c>
      <c r="G301" s="4">
        <f t="shared" si="14"/>
        <v>131930.32049446902</v>
      </c>
    </row>
    <row r="302" spans="1:7" x14ac:dyDescent="0.25">
      <c r="A302">
        <v>299</v>
      </c>
      <c r="B302" s="4">
        <f>-PPMT('Owner Occupier'!$D$41/12,'FHA Amotization'!$A302,360,'Owner Occupier'!$D$40,0,0)</f>
        <v>1490.8047133985294</v>
      </c>
      <c r="C302" s="4">
        <f>-IPMT('Owner Occupier'!$D$41/12,'FHA Amotization'!$A302,360,'Owner Occupier'!$D$40,0,0)</f>
        <v>365.35828662802447</v>
      </c>
      <c r="D302" s="4">
        <f t="shared" si="12"/>
        <v>1856.1630000265538</v>
      </c>
      <c r="E302" s="3">
        <f t="shared" si="13"/>
        <v>101669.18209922007</v>
      </c>
      <c r="F302" s="4">
        <f>('Owner Occupier'!$H$24-'Owner Occupier'!$D$52)/('Owner Occupier'!$D$56-'Owner Occupier'!$D$52)*B302</f>
        <v>717.4129020901886</v>
      </c>
      <c r="G302" s="4">
        <f t="shared" si="14"/>
        <v>132647.7333965592</v>
      </c>
    </row>
    <row r="303" spans="1:7" x14ac:dyDescent="0.25">
      <c r="A303">
        <v>300</v>
      </c>
      <c r="B303" s="4">
        <f>-PPMT('Owner Occupier'!$D$41/12,'FHA Amotization'!$A303,360,'Owner Occupier'!$D$40,0,0)</f>
        <v>1496.0846467584824</v>
      </c>
      <c r="C303" s="4">
        <f>-IPMT('Owner Occupier'!$D$41/12,'FHA Amotization'!$A303,360,'Owner Occupier'!$D$40,0,0)</f>
        <v>360.07835326807134</v>
      </c>
      <c r="D303" s="4">
        <f t="shared" si="12"/>
        <v>1856.1630000265538</v>
      </c>
      <c r="E303" s="3">
        <f t="shared" si="13"/>
        <v>100173.09745246159</v>
      </c>
      <c r="F303" s="4">
        <f>('Owner Occupier'!$H$24-'Owner Occupier'!$D$52)/('Owner Occupier'!$D$56-'Owner Occupier'!$D$52)*B303</f>
        <v>719.953739451758</v>
      </c>
      <c r="G303" s="4">
        <f t="shared" si="14"/>
        <v>133367.68713601097</v>
      </c>
    </row>
    <row r="304" spans="1:7" x14ac:dyDescent="0.25">
      <c r="A304">
        <v>301</v>
      </c>
      <c r="B304" s="4">
        <f>-PPMT('Owner Occupier'!$D$41/12,'FHA Amotization'!$A304,360,'Owner Occupier'!$D$40,0,0)</f>
        <v>1501.3832798824187</v>
      </c>
      <c r="C304" s="4">
        <f>-IPMT('Owner Occupier'!$D$41/12,'FHA Amotization'!$A304,360,'Owner Occupier'!$D$40,0,0)</f>
        <v>354.77972014413501</v>
      </c>
      <c r="D304" s="4">
        <f t="shared" si="12"/>
        <v>1856.1630000265536</v>
      </c>
      <c r="E304" s="3">
        <f t="shared" si="13"/>
        <v>98671.714172579173</v>
      </c>
      <c r="F304" s="4">
        <f>('Owner Occupier'!$H$24-'Owner Occupier'!$D$52)/('Owner Occupier'!$D$56-'Owner Occupier'!$D$52)*B304</f>
        <v>722.50357561231624</v>
      </c>
      <c r="G304" s="4">
        <f t="shared" si="14"/>
        <v>134090.19071162329</v>
      </c>
    </row>
    <row r="305" spans="1:7" x14ac:dyDescent="0.25">
      <c r="A305">
        <v>302</v>
      </c>
      <c r="B305" s="4">
        <f>-PPMT('Owner Occupier'!$D$41/12,'FHA Amotization'!$A305,360,'Owner Occupier'!$D$40,0,0)</f>
        <v>1506.700678998669</v>
      </c>
      <c r="C305" s="4">
        <f>-IPMT('Owner Occupier'!$D$41/12,'FHA Amotization'!$A305,360,'Owner Occupier'!$D$40,0,0)</f>
        <v>349.4623210278848</v>
      </c>
      <c r="D305" s="4">
        <f t="shared" si="12"/>
        <v>1856.1630000265538</v>
      </c>
      <c r="E305" s="3">
        <f t="shared" si="13"/>
        <v>97165.013493580511</v>
      </c>
      <c r="F305" s="4">
        <f>('Owner Occupier'!$H$24-'Owner Occupier'!$D$52)/('Owner Occupier'!$D$56-'Owner Occupier'!$D$52)*B305</f>
        <v>725.06244244260984</v>
      </c>
      <c r="G305" s="4">
        <f t="shared" si="14"/>
        <v>134815.2531540659</v>
      </c>
    </row>
    <row r="306" spans="1:7" x14ac:dyDescent="0.25">
      <c r="A306">
        <v>303</v>
      </c>
      <c r="B306" s="4">
        <f>-PPMT('Owner Occupier'!$D$41/12,'FHA Amotization'!$A306,360,'Owner Occupier'!$D$40,0,0)</f>
        <v>1512.0369105701225</v>
      </c>
      <c r="C306" s="4">
        <f>-IPMT('Owner Occupier'!$D$41/12,'FHA Amotization'!$A306,360,'Owner Occupier'!$D$40,0,0)</f>
        <v>344.12608945643109</v>
      </c>
      <c r="D306" s="4">
        <f t="shared" si="12"/>
        <v>1856.1630000265536</v>
      </c>
      <c r="E306" s="3">
        <f t="shared" si="13"/>
        <v>95652.976583010386</v>
      </c>
      <c r="F306" s="4">
        <f>('Owner Occupier'!$H$24-'Owner Occupier'!$D$52)/('Owner Occupier'!$D$56-'Owner Occupier'!$D$52)*B306</f>
        <v>727.63037192626075</v>
      </c>
      <c r="G306" s="4">
        <f t="shared" si="14"/>
        <v>135542.88352599216</v>
      </c>
    </row>
    <row r="307" spans="1:7" x14ac:dyDescent="0.25">
      <c r="A307">
        <v>304</v>
      </c>
      <c r="B307" s="4">
        <f>-PPMT('Owner Occupier'!$D$41/12,'FHA Amotization'!$A307,360,'Owner Occupier'!$D$40,0,0)</f>
        <v>1517.3920412950583</v>
      </c>
      <c r="C307" s="4">
        <f>-IPMT('Owner Occupier'!$D$41/12,'FHA Amotization'!$A307,360,'Owner Occupier'!$D$40,0,0)</f>
        <v>338.77095873149534</v>
      </c>
      <c r="D307" s="4">
        <f t="shared" si="12"/>
        <v>1856.1630000265536</v>
      </c>
      <c r="E307" s="3">
        <f t="shared" si="13"/>
        <v>94135.584541715332</v>
      </c>
      <c r="F307" s="4">
        <f>('Owner Occupier'!$H$24-'Owner Occupier'!$D$52)/('Owner Occupier'!$D$56-'Owner Occupier'!$D$52)*B307</f>
        <v>730.20739616016624</v>
      </c>
      <c r="G307" s="4">
        <f t="shared" si="14"/>
        <v>136273.09092215233</v>
      </c>
    </row>
    <row r="308" spans="1:7" x14ac:dyDescent="0.25">
      <c r="A308">
        <v>305</v>
      </c>
      <c r="B308" s="4">
        <f>-PPMT('Owner Occupier'!$D$41/12,'FHA Amotization'!$A308,360,'Owner Occupier'!$D$40,0,0)</f>
        <v>1522.7661381079786</v>
      </c>
      <c r="C308" s="4">
        <f>-IPMT('Owner Occupier'!$D$41/12,'FHA Amotization'!$A308,360,'Owner Occupier'!$D$40,0,0)</f>
        <v>333.39686191857533</v>
      </c>
      <c r="D308" s="4">
        <f t="shared" si="12"/>
        <v>1856.1630000265538</v>
      </c>
      <c r="E308" s="3">
        <f t="shared" si="13"/>
        <v>92612.818403607351</v>
      </c>
      <c r="F308" s="4">
        <f>('Owner Occupier'!$H$24-'Owner Occupier'!$D$52)/('Owner Occupier'!$D$56-'Owner Occupier'!$D$52)*B308</f>
        <v>732.79354735490028</v>
      </c>
      <c r="G308" s="4">
        <f t="shared" si="14"/>
        <v>137005.88446950723</v>
      </c>
    </row>
    <row r="309" spans="1:7" x14ac:dyDescent="0.25">
      <c r="A309">
        <v>306</v>
      </c>
      <c r="B309" s="4">
        <f>-PPMT('Owner Occupier'!$D$41/12,'FHA Amotization'!$A309,360,'Owner Occupier'!$D$40,0,0)</f>
        <v>1528.1592681804441</v>
      </c>
      <c r="C309" s="4">
        <f>-IPMT('Owner Occupier'!$D$41/12,'FHA Amotization'!$A309,360,'Owner Occupier'!$D$40,0,0)</f>
        <v>328.00373184610953</v>
      </c>
      <c r="D309" s="4">
        <f t="shared" si="12"/>
        <v>1856.1630000265536</v>
      </c>
      <c r="E309" s="3">
        <f t="shared" si="13"/>
        <v>91084.659135426904</v>
      </c>
      <c r="F309" s="4">
        <f>('Owner Occupier'!$H$24-'Owner Occupier'!$D$52)/('Owner Occupier'!$D$56-'Owner Occupier'!$D$52)*B309</f>
        <v>735.38885783511546</v>
      </c>
      <c r="G309" s="4">
        <f t="shared" si="14"/>
        <v>137741.27332734235</v>
      </c>
    </row>
    <row r="310" spans="1:7" x14ac:dyDescent="0.25">
      <c r="A310">
        <v>307</v>
      </c>
      <c r="B310" s="4">
        <f>-PPMT('Owner Occupier'!$D$41/12,'FHA Amotization'!$A310,360,'Owner Occupier'!$D$40,0,0)</f>
        <v>1533.5714989219164</v>
      </c>
      <c r="C310" s="4">
        <f>-IPMT('Owner Occupier'!$D$41/12,'FHA Amotization'!$A310,360,'Owner Occupier'!$D$40,0,0)</f>
        <v>322.59150110463713</v>
      </c>
      <c r="D310" s="4">
        <f t="shared" si="12"/>
        <v>1856.1630000265536</v>
      </c>
      <c r="E310" s="3">
        <f t="shared" si="13"/>
        <v>89551.087636504992</v>
      </c>
      <c r="F310" s="4">
        <f>('Owner Occupier'!$H$24-'Owner Occupier'!$D$52)/('Owner Occupier'!$D$56-'Owner Occupier'!$D$52)*B310</f>
        <v>737.99336003994813</v>
      </c>
      <c r="G310" s="4">
        <f t="shared" si="14"/>
        <v>138479.2666873823</v>
      </c>
    </row>
    <row r="311" spans="1:7" x14ac:dyDescent="0.25">
      <c r="A311">
        <v>308</v>
      </c>
      <c r="B311" s="4">
        <f>-PPMT('Owner Occupier'!$D$41/12,'FHA Amotization'!$A311,360,'Owner Occupier'!$D$40,0,0)</f>
        <v>1539.0028979805984</v>
      </c>
      <c r="C311" s="4">
        <f>-IPMT('Owner Occupier'!$D$41/12,'FHA Amotization'!$A311,360,'Owner Occupier'!$D$40,0,0)</f>
        <v>317.16010204595528</v>
      </c>
      <c r="D311" s="4">
        <f t="shared" si="12"/>
        <v>1856.1630000265536</v>
      </c>
      <c r="E311" s="3">
        <f t="shared" si="13"/>
        <v>88012.084738524398</v>
      </c>
      <c r="F311" s="4">
        <f>('Owner Occupier'!$H$24-'Owner Occupier'!$D$52)/('Owner Occupier'!$D$56-'Owner Occupier'!$D$52)*B311</f>
        <v>740.60708652342305</v>
      </c>
      <c r="G311" s="4">
        <f t="shared" si="14"/>
        <v>139219.87377390574</v>
      </c>
    </row>
    <row r="312" spans="1:7" x14ac:dyDescent="0.25">
      <c r="A312">
        <v>309</v>
      </c>
      <c r="B312" s="4">
        <f>-PPMT('Owner Occupier'!$D$41/12,'FHA Amotization'!$A312,360,'Owner Occupier'!$D$40,0,0)</f>
        <v>1544.4535332442797</v>
      </c>
      <c r="C312" s="4">
        <f>-IPMT('Owner Occupier'!$D$41/12,'FHA Amotization'!$A312,360,'Owner Occupier'!$D$40,0,0)</f>
        <v>311.70946678227403</v>
      </c>
      <c r="D312" s="4">
        <f t="shared" si="12"/>
        <v>1856.1630000265536</v>
      </c>
      <c r="E312" s="3">
        <f t="shared" si="13"/>
        <v>86467.631205280122</v>
      </c>
      <c r="F312" s="4">
        <f>('Owner Occupier'!$H$24-'Owner Occupier'!$D$52)/('Owner Occupier'!$D$56-'Owner Occupier'!$D$52)*B312</f>
        <v>743.23006995486014</v>
      </c>
      <c r="G312" s="4">
        <f t="shared" si="14"/>
        <v>139963.10384386059</v>
      </c>
    </row>
    <row r="313" spans="1:7" x14ac:dyDescent="0.25">
      <c r="A313">
        <v>310</v>
      </c>
      <c r="B313" s="4">
        <f>-PPMT('Owner Occupier'!$D$41/12,'FHA Amotization'!$A313,360,'Owner Occupier'!$D$40,0,0)</f>
        <v>1549.9234728411866</v>
      </c>
      <c r="C313" s="4">
        <f>-IPMT('Owner Occupier'!$D$41/12,'FHA Amotization'!$A313,360,'Owner Occupier'!$D$40,0,0)</f>
        <v>306.23952718536719</v>
      </c>
      <c r="D313" s="4">
        <f t="shared" si="12"/>
        <v>1856.1630000265538</v>
      </c>
      <c r="E313" s="3">
        <f t="shared" si="13"/>
        <v>84917.707732438939</v>
      </c>
      <c r="F313" s="4">
        <f>('Owner Occupier'!$H$24-'Owner Occupier'!$D$52)/('Owner Occupier'!$D$56-'Owner Occupier'!$D$52)*B313</f>
        <v>745.86234311928365</v>
      </c>
      <c r="G313" s="4">
        <f t="shared" si="14"/>
        <v>140708.96618697987</v>
      </c>
    </row>
    <row r="314" spans="1:7" x14ac:dyDescent="0.25">
      <c r="A314">
        <v>311</v>
      </c>
      <c r="B314" s="4">
        <f>-PPMT('Owner Occupier'!$D$41/12,'FHA Amotization'!$A314,360,'Owner Occupier'!$D$40,0,0)</f>
        <v>1555.4127851408323</v>
      </c>
      <c r="C314" s="4">
        <f>-IPMT('Owner Occupier'!$D$41/12,'FHA Amotization'!$A314,360,'Owner Occupier'!$D$40,0,0)</f>
        <v>300.75021488572133</v>
      </c>
      <c r="D314" s="4">
        <f t="shared" si="12"/>
        <v>1856.1630000265536</v>
      </c>
      <c r="E314" s="3">
        <f t="shared" si="13"/>
        <v>83362.294947298113</v>
      </c>
      <c r="F314" s="4">
        <f>('Owner Occupier'!$H$24-'Owner Occupier'!$D$52)/('Owner Occupier'!$D$56-'Owner Occupier'!$D$52)*B314</f>
        <v>748.50393891783096</v>
      </c>
      <c r="G314" s="4">
        <f t="shared" si="14"/>
        <v>141457.4701258977</v>
      </c>
    </row>
    <row r="315" spans="1:7" x14ac:dyDescent="0.25">
      <c r="A315">
        <v>312</v>
      </c>
      <c r="B315" s="4">
        <f>-PPMT('Owner Occupier'!$D$41/12,'FHA Amotization'!$A315,360,'Owner Occupier'!$D$40,0,0)</f>
        <v>1560.9215387548727</v>
      </c>
      <c r="C315" s="4">
        <f>-IPMT('Owner Occupier'!$D$41/12,'FHA Amotization'!$A315,360,'Owner Occupier'!$D$40,0,0)</f>
        <v>295.24146127168086</v>
      </c>
      <c r="D315" s="4">
        <f t="shared" si="12"/>
        <v>1856.1630000265536</v>
      </c>
      <c r="E315" s="3">
        <f t="shared" si="13"/>
        <v>81801.373408543237</v>
      </c>
      <c r="F315" s="4">
        <f>('Owner Occupier'!$H$24-'Owner Occupier'!$D$52)/('Owner Occupier'!$D$56-'Owner Occupier'!$D$52)*B315</f>
        <v>751.15489036816496</v>
      </c>
      <c r="G315" s="4">
        <f t="shared" si="14"/>
        <v>142208.62501626587</v>
      </c>
    </row>
    <row r="316" spans="1:7" x14ac:dyDescent="0.25">
      <c r="A316">
        <v>313</v>
      </c>
      <c r="B316" s="4">
        <f>-PPMT('Owner Occupier'!$D$41/12,'FHA Amotization'!$A316,360,'Owner Occupier'!$D$40,0,0)</f>
        <v>1566.449802537963</v>
      </c>
      <c r="C316" s="4">
        <f>-IPMT('Owner Occupier'!$D$41/12,'FHA Amotization'!$A316,360,'Owner Occupier'!$D$40,0,0)</f>
        <v>289.71319748859077</v>
      </c>
      <c r="D316" s="4">
        <f t="shared" si="12"/>
        <v>1856.1630000265538</v>
      </c>
      <c r="E316" s="3">
        <f t="shared" si="13"/>
        <v>80234.923606005279</v>
      </c>
      <c r="F316" s="4">
        <f>('Owner Occupier'!$H$24-'Owner Occupier'!$D$52)/('Owner Occupier'!$D$56-'Owner Occupier'!$D$52)*B316</f>
        <v>753.81523060488564</v>
      </c>
      <c r="G316" s="4">
        <f t="shared" si="14"/>
        <v>142962.44024687074</v>
      </c>
    </row>
    <row r="317" spans="1:7" x14ac:dyDescent="0.25">
      <c r="A317">
        <v>314</v>
      </c>
      <c r="B317" s="4">
        <f>-PPMT('Owner Occupier'!$D$41/12,'FHA Amotization'!$A317,360,'Owner Occupier'!$D$40,0,0)</f>
        <v>1571.9976455886183</v>
      </c>
      <c r="C317" s="4">
        <f>-IPMT('Owner Occupier'!$D$41/12,'FHA Amotization'!$A317,360,'Owner Occupier'!$D$40,0,0)</f>
        <v>284.16535443793543</v>
      </c>
      <c r="D317" s="4">
        <f t="shared" si="12"/>
        <v>1856.1630000265536</v>
      </c>
      <c r="E317" s="3">
        <f t="shared" si="13"/>
        <v>78662.925960416658</v>
      </c>
      <c r="F317" s="4">
        <f>('Owner Occupier'!$H$24-'Owner Occupier'!$D$52)/('Owner Occupier'!$D$56-'Owner Occupier'!$D$52)*B317</f>
        <v>756.48499287994457</v>
      </c>
      <c r="G317" s="4">
        <f t="shared" si="14"/>
        <v>143718.92523975068</v>
      </c>
    </row>
    <row r="318" spans="1:7" x14ac:dyDescent="0.25">
      <c r="A318">
        <v>315</v>
      </c>
      <c r="B318" s="4">
        <f>-PPMT('Owner Occupier'!$D$41/12,'FHA Amotization'!$A318,360,'Owner Occupier'!$D$40,0,0)</f>
        <v>1577.5651372500779</v>
      </c>
      <c r="C318" s="4">
        <f>-IPMT('Owner Occupier'!$D$41/12,'FHA Amotization'!$A318,360,'Owner Occupier'!$D$40,0,0)</f>
        <v>278.59786277647572</v>
      </c>
      <c r="D318" s="4">
        <f t="shared" si="12"/>
        <v>1856.1630000265536</v>
      </c>
      <c r="E318" s="3">
        <f t="shared" si="13"/>
        <v>77085.360823166586</v>
      </c>
      <c r="F318" s="4">
        <f>('Owner Occupier'!$H$24-'Owner Occupier'!$D$52)/('Owner Occupier'!$D$56-'Owner Occupier'!$D$52)*B318</f>
        <v>759.16421056306103</v>
      </c>
      <c r="G318" s="4">
        <f t="shared" si="14"/>
        <v>144478.08945031374</v>
      </c>
    </row>
    <row r="319" spans="1:7" x14ac:dyDescent="0.25">
      <c r="A319">
        <v>316</v>
      </c>
      <c r="B319" s="4">
        <f>-PPMT('Owner Occupier'!$D$41/12,'FHA Amotization'!$A319,360,'Owner Occupier'!$D$40,0,0)</f>
        <v>1583.1523471111718</v>
      </c>
      <c r="C319" s="4">
        <f>-IPMT('Owner Occupier'!$D$41/12,'FHA Amotization'!$A319,360,'Owner Occupier'!$D$40,0,0)</f>
        <v>273.01065291538168</v>
      </c>
      <c r="D319" s="4">
        <f t="shared" si="12"/>
        <v>1856.1630000265536</v>
      </c>
      <c r="E319" s="3">
        <f t="shared" si="13"/>
        <v>75502.208476055413</v>
      </c>
      <c r="F319" s="4">
        <f>('Owner Occupier'!$H$24-'Owner Occupier'!$D$52)/('Owner Occupier'!$D$56-'Owner Occupier'!$D$52)*B319</f>
        <v>761.85291714213849</v>
      </c>
      <c r="G319" s="4">
        <f t="shared" si="14"/>
        <v>145239.94236745586</v>
      </c>
    </row>
    <row r="320" spans="1:7" x14ac:dyDescent="0.25">
      <c r="A320">
        <v>317</v>
      </c>
      <c r="B320" s="4">
        <f>-PPMT('Owner Occupier'!$D$41/12,'FHA Amotization'!$A320,360,'Owner Occupier'!$D$40,0,0)</f>
        <v>1588.7593450071909</v>
      </c>
      <c r="C320" s="4">
        <f>-IPMT('Owner Occupier'!$D$41/12,'FHA Amotization'!$A320,360,'Owner Occupier'!$D$40,0,0)</f>
        <v>267.40365501936299</v>
      </c>
      <c r="D320" s="4">
        <f t="shared" si="12"/>
        <v>1856.1630000265538</v>
      </c>
      <c r="E320" s="3">
        <f t="shared" si="13"/>
        <v>73913.449131048226</v>
      </c>
      <c r="F320" s="4">
        <f>('Owner Occupier'!$H$24-'Owner Occupier'!$D$52)/('Owner Occupier'!$D$56-'Owner Occupier'!$D$52)*B320</f>
        <v>764.55114622368376</v>
      </c>
      <c r="G320" s="4">
        <f t="shared" si="14"/>
        <v>146004.49351367954</v>
      </c>
    </row>
    <row r="321" spans="1:7" x14ac:dyDescent="0.25">
      <c r="A321">
        <v>318</v>
      </c>
      <c r="B321" s="4">
        <f>-PPMT('Owner Occupier'!$D$41/12,'FHA Amotization'!$A321,360,'Owner Occupier'!$D$40,0,0)</f>
        <v>1594.3862010207579</v>
      </c>
      <c r="C321" s="4">
        <f>-IPMT('Owner Occupier'!$D$41/12,'FHA Amotization'!$A321,360,'Owner Occupier'!$D$40,0,0)</f>
        <v>261.77679900579579</v>
      </c>
      <c r="D321" s="4">
        <f t="shared" si="12"/>
        <v>1856.1630000265536</v>
      </c>
      <c r="E321" s="3">
        <f t="shared" si="13"/>
        <v>72319.062930027474</v>
      </c>
      <c r="F321" s="4">
        <f>('Owner Occupier'!$H$24-'Owner Occupier'!$D$52)/('Owner Occupier'!$D$56-'Owner Occupier'!$D$52)*B321</f>
        <v>767.2589315332259</v>
      </c>
      <c r="G321" s="4">
        <f t="shared" si="14"/>
        <v>146771.75244521277</v>
      </c>
    </row>
    <row r="322" spans="1:7" x14ac:dyDescent="0.25">
      <c r="A322">
        <v>319</v>
      </c>
      <c r="B322" s="4">
        <f>-PPMT('Owner Occupier'!$D$41/12,'FHA Amotization'!$A322,360,'Owner Occupier'!$D$40,0,0)</f>
        <v>1600.0329854827064</v>
      </c>
      <c r="C322" s="4">
        <f>-IPMT('Owner Occupier'!$D$41/12,'FHA Amotization'!$A322,360,'Owner Occupier'!$D$40,0,0)</f>
        <v>256.13001454384732</v>
      </c>
      <c r="D322" s="4">
        <f t="shared" si="12"/>
        <v>1856.1630000265536</v>
      </c>
      <c r="E322" s="3">
        <f t="shared" si="13"/>
        <v>70719.029944544774</v>
      </c>
      <c r="F322" s="4">
        <f>('Owner Occupier'!$H$24-'Owner Occupier'!$D$52)/('Owner Occupier'!$D$56-'Owner Occupier'!$D$52)*B322</f>
        <v>769.97630691573943</v>
      </c>
      <c r="G322" s="4">
        <f t="shared" si="14"/>
        <v>147541.72875212852</v>
      </c>
    </row>
    <row r="323" spans="1:7" x14ac:dyDescent="0.25">
      <c r="A323">
        <v>320</v>
      </c>
      <c r="B323" s="4">
        <f>-PPMT('Owner Occupier'!$D$41/12,'FHA Amotization'!$A323,360,'Owner Occupier'!$D$40,0,0)</f>
        <v>1605.6997689729576</v>
      </c>
      <c r="C323" s="4">
        <f>-IPMT('Owner Occupier'!$D$41/12,'FHA Amotization'!$A323,360,'Owner Occupier'!$D$40,0,0)</f>
        <v>250.46323105359605</v>
      </c>
      <c r="D323" s="4">
        <f t="shared" si="12"/>
        <v>1856.1630000265536</v>
      </c>
      <c r="E323" s="3">
        <f t="shared" si="13"/>
        <v>69113.330175571813</v>
      </c>
      <c r="F323" s="4">
        <f>('Owner Occupier'!$H$24-'Owner Occupier'!$D$52)/('Owner Occupier'!$D$56-'Owner Occupier'!$D$52)*B323</f>
        <v>772.70330633606591</v>
      </c>
      <c r="G323" s="4">
        <f t="shared" si="14"/>
        <v>148314.43205846459</v>
      </c>
    </row>
    <row r="324" spans="1:7" x14ac:dyDescent="0.25">
      <c r="A324">
        <v>321</v>
      </c>
      <c r="B324" s="4">
        <f>-PPMT('Owner Occupier'!$D$41/12,'FHA Amotization'!$A324,360,'Owner Occupier'!$D$40,0,0)</f>
        <v>1611.3866223214034</v>
      </c>
      <c r="C324" s="4">
        <f>-IPMT('Owner Occupier'!$D$41/12,'FHA Amotization'!$A324,360,'Owner Occupier'!$D$40,0,0)</f>
        <v>244.7763777051502</v>
      </c>
      <c r="D324" s="4">
        <f t="shared" si="12"/>
        <v>1856.1630000265536</v>
      </c>
      <c r="E324" s="3">
        <f t="shared" si="13"/>
        <v>67501.943553250414</v>
      </c>
      <c r="F324" s="4">
        <f>('Owner Occupier'!$H$24-'Owner Occupier'!$D$52)/('Owner Occupier'!$D$56-'Owner Occupier'!$D$52)*B324</f>
        <v>775.43996387933942</v>
      </c>
      <c r="G324" s="4">
        <f t="shared" si="14"/>
        <v>149089.87202234392</v>
      </c>
    </row>
    <row r="325" spans="1:7" x14ac:dyDescent="0.25">
      <c r="A325">
        <v>322</v>
      </c>
      <c r="B325" s="4">
        <f>-PPMT('Owner Occupier'!$D$41/12,'FHA Amotization'!$A325,360,'Owner Occupier'!$D$40,0,0)</f>
        <v>1617.0936166087918</v>
      </c>
      <c r="C325" s="4">
        <f>-IPMT('Owner Occupier'!$D$41/12,'FHA Amotization'!$A325,360,'Owner Occupier'!$D$40,0,0)</f>
        <v>239.06938341776191</v>
      </c>
      <c r="D325" s="4">
        <f t="shared" ref="D325:D363" si="15">B325+C325</f>
        <v>1856.1630000265536</v>
      </c>
      <c r="E325" s="3">
        <f t="shared" si="13"/>
        <v>65884.849936641622</v>
      </c>
      <c r="F325" s="4">
        <f>('Owner Occupier'!$H$24-'Owner Occupier'!$D$52)/('Owner Occupier'!$D$56-'Owner Occupier'!$D$52)*B325</f>
        <v>778.18631375141217</v>
      </c>
      <c r="G325" s="4">
        <f t="shared" si="14"/>
        <v>149868.05833609533</v>
      </c>
    </row>
    <row r="326" spans="1:7" x14ac:dyDescent="0.25">
      <c r="A326">
        <v>323</v>
      </c>
      <c r="B326" s="4">
        <f>-PPMT('Owner Occupier'!$D$41/12,'FHA Amotization'!$A326,360,'Owner Occupier'!$D$40,0,0)</f>
        <v>1622.8208231676147</v>
      </c>
      <c r="C326" s="4">
        <f>-IPMT('Owner Occupier'!$D$41/12,'FHA Amotization'!$A326,360,'Owner Occupier'!$D$40,0,0)</f>
        <v>233.3421768589391</v>
      </c>
      <c r="D326" s="4">
        <f t="shared" si="15"/>
        <v>1856.1630000265538</v>
      </c>
      <c r="E326" s="3">
        <f t="shared" ref="E326:E363" si="16">E325-B326</f>
        <v>64262.029113474004</v>
      </c>
      <c r="F326" s="4">
        <f>('Owner Occupier'!$H$24-'Owner Occupier'!$D$52)/('Owner Occupier'!$D$56-'Owner Occupier'!$D$52)*B326</f>
        <v>780.94239027928177</v>
      </c>
      <c r="G326" s="4">
        <f t="shared" ref="G326:G363" si="17">F326+G325</f>
        <v>150649.00072637462</v>
      </c>
    </row>
    <row r="327" spans="1:7" x14ac:dyDescent="0.25">
      <c r="A327">
        <v>324</v>
      </c>
      <c r="B327" s="4">
        <f>-PPMT('Owner Occupier'!$D$41/12,'FHA Amotization'!$A327,360,'Owner Occupier'!$D$40,0,0)</f>
        <v>1628.568313583</v>
      </c>
      <c r="C327" s="4">
        <f>-IPMT('Owner Occupier'!$D$41/12,'FHA Amotization'!$A327,360,'Owner Occupier'!$D$40,0,0)</f>
        <v>227.5946864435538</v>
      </c>
      <c r="D327" s="4">
        <f t="shared" si="15"/>
        <v>1856.1630000265538</v>
      </c>
      <c r="E327" s="3">
        <f t="shared" si="16"/>
        <v>62633.460799891007</v>
      </c>
      <c r="F327" s="4">
        <f>('Owner Occupier'!$H$24-'Owner Occupier'!$D$52)/('Owner Occupier'!$D$56-'Owner Occupier'!$D$52)*B327</f>
        <v>783.70822791152091</v>
      </c>
      <c r="G327" s="4">
        <f t="shared" si="17"/>
        <v>151432.70895428615</v>
      </c>
    </row>
    <row r="328" spans="1:7" x14ac:dyDescent="0.25">
      <c r="A328">
        <v>325</v>
      </c>
      <c r="B328" s="4">
        <f>-PPMT('Owner Occupier'!$D$41/12,'FHA Amotization'!$A328,360,'Owner Occupier'!$D$40,0,0)</f>
        <v>1634.3361596936063</v>
      </c>
      <c r="C328" s="4">
        <f>-IPMT('Owner Occupier'!$D$41/12,'FHA Amotization'!$A328,360,'Owner Occupier'!$D$40,0,0)</f>
        <v>221.82684033294734</v>
      </c>
      <c r="D328" s="4">
        <f t="shared" si="15"/>
        <v>1856.1630000265536</v>
      </c>
      <c r="E328" s="3">
        <f t="shared" si="16"/>
        <v>60999.124640197399</v>
      </c>
      <c r="F328" s="4">
        <f>('Owner Occupier'!$H$24-'Owner Occupier'!$D$52)/('Owner Occupier'!$D$56-'Owner Occupier'!$D$52)*B328</f>
        <v>786.48386121870749</v>
      </c>
      <c r="G328" s="4">
        <f t="shared" si="17"/>
        <v>152219.19281550485</v>
      </c>
    </row>
    <row r="329" spans="1:7" x14ac:dyDescent="0.25">
      <c r="A329">
        <v>326</v>
      </c>
      <c r="B329" s="4">
        <f>-PPMT('Owner Occupier'!$D$41/12,'FHA Amotization'!$A329,360,'Owner Occupier'!$D$40,0,0)</f>
        <v>1640.1244335925212</v>
      </c>
      <c r="C329" s="4">
        <f>-IPMT('Owner Occupier'!$D$41/12,'FHA Amotization'!$A329,360,'Owner Occupier'!$D$40,0,0)</f>
        <v>216.03856643403245</v>
      </c>
      <c r="D329" s="4">
        <f t="shared" si="15"/>
        <v>1856.1630000265536</v>
      </c>
      <c r="E329" s="3">
        <f t="shared" si="16"/>
        <v>59359.000206604876</v>
      </c>
      <c r="F329" s="4">
        <f>('Owner Occupier'!$H$24-'Owner Occupier'!$D$52)/('Owner Occupier'!$D$56-'Owner Occupier'!$D$52)*B329</f>
        <v>789.26932489385706</v>
      </c>
      <c r="G329" s="4">
        <f t="shared" si="17"/>
        <v>153008.46214039871</v>
      </c>
    </row>
    <row r="330" spans="1:7" x14ac:dyDescent="0.25">
      <c r="A330">
        <v>327</v>
      </c>
      <c r="B330" s="4">
        <f>-PPMT('Owner Occupier'!$D$41/12,'FHA Amotization'!$A330,360,'Owner Occupier'!$D$40,0,0)</f>
        <v>1645.9332076281614</v>
      </c>
      <c r="C330" s="4">
        <f>-IPMT('Owner Occupier'!$D$41/12,'FHA Amotization'!$A330,360,'Owner Occupier'!$D$40,0,0)</f>
        <v>210.22979239839228</v>
      </c>
      <c r="D330" s="4">
        <f t="shared" si="15"/>
        <v>1856.1630000265536</v>
      </c>
      <c r="E330" s="3">
        <f t="shared" si="16"/>
        <v>57713.066998976712</v>
      </c>
      <c r="F330" s="4">
        <f>('Owner Occupier'!$H$24-'Owner Occupier'!$D$52)/('Owner Occupier'!$D$56-'Owner Occupier'!$D$52)*B330</f>
        <v>792.0646537528562</v>
      </c>
      <c r="G330" s="4">
        <f t="shared" si="17"/>
        <v>153800.52679415158</v>
      </c>
    </row>
    <row r="331" spans="1:7" x14ac:dyDescent="0.25">
      <c r="A331">
        <v>328</v>
      </c>
      <c r="B331" s="4">
        <f>-PPMT('Owner Occupier'!$D$41/12,'FHA Amotization'!$A331,360,'Owner Occupier'!$D$40,0,0)</f>
        <v>1651.7625544051778</v>
      </c>
      <c r="C331" s="4">
        <f>-IPMT('Owner Occupier'!$D$41/12,'FHA Amotization'!$A331,360,'Owner Occupier'!$D$40,0,0)</f>
        <v>204.40044562137589</v>
      </c>
      <c r="D331" s="4">
        <f t="shared" si="15"/>
        <v>1856.1630000265536</v>
      </c>
      <c r="E331" s="3">
        <f t="shared" si="16"/>
        <v>56061.304444571535</v>
      </c>
      <c r="F331" s="4">
        <f>('Owner Occupier'!$H$24-'Owner Occupier'!$D$52)/('Owner Occupier'!$D$56-'Owner Occupier'!$D$52)*B331</f>
        <v>794.86988273489749</v>
      </c>
      <c r="G331" s="4">
        <f t="shared" si="17"/>
        <v>154595.39667688648</v>
      </c>
    </row>
    <row r="332" spans="1:7" x14ac:dyDescent="0.25">
      <c r="A332">
        <v>329</v>
      </c>
      <c r="B332" s="4">
        <f>-PPMT('Owner Occupier'!$D$41/12,'FHA Amotization'!$A332,360,'Owner Occupier'!$D$40,0,0)</f>
        <v>1657.6125467853628</v>
      </c>
      <c r="C332" s="4">
        <f>-IPMT('Owner Occupier'!$D$41/12,'FHA Amotization'!$A332,360,'Owner Occupier'!$D$40,0,0)</f>
        <v>198.55045324119089</v>
      </c>
      <c r="D332" s="4">
        <f t="shared" si="15"/>
        <v>1856.1630000265536</v>
      </c>
      <c r="E332" s="3">
        <f t="shared" si="16"/>
        <v>54403.691897786171</v>
      </c>
      <c r="F332" s="4">
        <f>('Owner Occupier'!$H$24-'Owner Occupier'!$D$52)/('Owner Occupier'!$D$56-'Owner Occupier'!$D$52)*B332</f>
        <v>797.68504690291695</v>
      </c>
      <c r="G332" s="4">
        <f t="shared" si="17"/>
        <v>155393.08172378939</v>
      </c>
    </row>
    <row r="333" spans="1:7" x14ac:dyDescent="0.25">
      <c r="A333">
        <v>330</v>
      </c>
      <c r="B333" s="4">
        <f>-PPMT('Owner Occupier'!$D$41/12,'FHA Amotization'!$A333,360,'Owner Occupier'!$D$40,0,0)</f>
        <v>1663.483257888561</v>
      </c>
      <c r="C333" s="4">
        <f>-IPMT('Owner Occupier'!$D$41/12,'FHA Amotization'!$A333,360,'Owner Occupier'!$D$40,0,0)</f>
        <v>192.67974213799272</v>
      </c>
      <c r="D333" s="4">
        <f t="shared" si="15"/>
        <v>1856.1630000265536</v>
      </c>
      <c r="E333" s="3">
        <f t="shared" si="16"/>
        <v>52740.20863989761</v>
      </c>
      <c r="F333" s="4">
        <f>('Owner Occupier'!$H$24-'Owner Occupier'!$D$52)/('Owner Occupier'!$D$56-'Owner Occupier'!$D$52)*B333</f>
        <v>800.51018144403145</v>
      </c>
      <c r="G333" s="4">
        <f t="shared" si="17"/>
        <v>156193.59190523342</v>
      </c>
    </row>
    <row r="334" spans="1:7" x14ac:dyDescent="0.25">
      <c r="A334">
        <v>331</v>
      </c>
      <c r="B334" s="4">
        <f>-PPMT('Owner Occupier'!$D$41/12,'FHA Amotization'!$A334,360,'Owner Occupier'!$D$40,0,0)</f>
        <v>1669.3747610935829</v>
      </c>
      <c r="C334" s="4">
        <f>-IPMT('Owner Occupier'!$D$41/12,'FHA Amotization'!$A334,360,'Owner Occupier'!$D$40,0,0)</f>
        <v>186.78823893297073</v>
      </c>
      <c r="D334" s="4">
        <f t="shared" si="15"/>
        <v>1856.1630000265536</v>
      </c>
      <c r="E334" s="3">
        <f t="shared" si="16"/>
        <v>51070.833878804027</v>
      </c>
      <c r="F334" s="4">
        <f>('Owner Occupier'!$H$24-'Owner Occupier'!$D$52)/('Owner Occupier'!$D$56-'Owner Occupier'!$D$52)*B334</f>
        <v>803.34532166997906</v>
      </c>
      <c r="G334" s="4">
        <f t="shared" si="17"/>
        <v>156996.93722690339</v>
      </c>
    </row>
    <row r="335" spans="1:7" x14ac:dyDescent="0.25">
      <c r="A335">
        <v>332</v>
      </c>
      <c r="B335" s="4">
        <f>-PPMT('Owner Occupier'!$D$41/12,'FHA Amotization'!$A335,360,'Owner Occupier'!$D$40,0,0)</f>
        <v>1675.2871300391228</v>
      </c>
      <c r="C335" s="4">
        <f>-IPMT('Owner Occupier'!$D$41/12,'FHA Amotization'!$A335,360,'Owner Occupier'!$D$40,0,0)</f>
        <v>180.87586998743095</v>
      </c>
      <c r="D335" s="4">
        <f t="shared" si="15"/>
        <v>1856.1630000265536</v>
      </c>
      <c r="E335" s="3">
        <f t="shared" si="16"/>
        <v>49395.546748764908</v>
      </c>
      <c r="F335" s="4">
        <f>('Owner Occupier'!$H$24-'Owner Occupier'!$D$52)/('Owner Occupier'!$D$56-'Owner Occupier'!$D$52)*B335</f>
        <v>806.19050301756022</v>
      </c>
      <c r="G335" s="4">
        <f t="shared" si="17"/>
        <v>157803.12772992096</v>
      </c>
    </row>
    <row r="336" spans="1:7" x14ac:dyDescent="0.25">
      <c r="A336">
        <v>333</v>
      </c>
      <c r="B336" s="4">
        <f>-PPMT('Owner Occupier'!$D$41/12,'FHA Amotization'!$A336,360,'Owner Occupier'!$D$40,0,0)</f>
        <v>1681.2204386246781</v>
      </c>
      <c r="C336" s="4">
        <f>-IPMT('Owner Occupier'!$D$41/12,'FHA Amotization'!$A336,360,'Owner Occupier'!$D$40,0,0)</f>
        <v>174.94256140187574</v>
      </c>
      <c r="D336" s="4">
        <f t="shared" si="15"/>
        <v>1856.1630000265538</v>
      </c>
      <c r="E336" s="3">
        <f t="shared" si="16"/>
        <v>47714.326310140226</v>
      </c>
      <c r="F336" s="4">
        <f>('Owner Occupier'!$H$24-'Owner Occupier'!$D$52)/('Owner Occupier'!$D$56-'Owner Occupier'!$D$52)*B336</f>
        <v>809.04576104908085</v>
      </c>
      <c r="G336" s="4">
        <f t="shared" si="17"/>
        <v>158612.17349097005</v>
      </c>
    </row>
    <row r="337" spans="1:7" x14ac:dyDescent="0.25">
      <c r="A337">
        <v>334</v>
      </c>
      <c r="B337" s="4">
        <f>-PPMT('Owner Occupier'!$D$41/12,'FHA Amotization'!$A337,360,'Owner Occupier'!$D$40,0,0)</f>
        <v>1687.1747610114737</v>
      </c>
      <c r="C337" s="4">
        <f>-IPMT('Owner Occupier'!$D$41/12,'FHA Amotization'!$A337,360,'Owner Occupier'!$D$40,0,0)</f>
        <v>168.98823901508004</v>
      </c>
      <c r="D337" s="4">
        <f t="shared" si="15"/>
        <v>1856.1630000265538</v>
      </c>
      <c r="E337" s="3">
        <f t="shared" si="16"/>
        <v>46027.15154912875</v>
      </c>
      <c r="F337" s="4">
        <f>('Owner Occupier'!$H$24-'Owner Occupier'!$D$52)/('Owner Occupier'!$D$56-'Owner Occupier'!$D$52)*B337</f>
        <v>811.91113145279633</v>
      </c>
      <c r="G337" s="4">
        <f t="shared" si="17"/>
        <v>159424.08462242284</v>
      </c>
    </row>
    <row r="338" spans="1:7" x14ac:dyDescent="0.25">
      <c r="A338">
        <v>335</v>
      </c>
      <c r="B338" s="4">
        <f>-PPMT('Owner Occupier'!$D$41/12,'FHA Amotization'!$A338,360,'Owner Occupier'!$D$40,0,0)</f>
        <v>1693.1501716233893</v>
      </c>
      <c r="C338" s="4">
        <f>-IPMT('Owner Occupier'!$D$41/12,'FHA Amotization'!$A338,360,'Owner Occupier'!$D$40,0,0)</f>
        <v>163.01282840316435</v>
      </c>
      <c r="D338" s="4">
        <f t="shared" si="15"/>
        <v>1856.1630000265536</v>
      </c>
      <c r="E338" s="3">
        <f t="shared" si="16"/>
        <v>44334.001377505359</v>
      </c>
      <c r="F338" s="4">
        <f>('Owner Occupier'!$H$24-'Owner Occupier'!$D$52)/('Owner Occupier'!$D$56-'Owner Occupier'!$D$52)*B338</f>
        <v>814.78665004335824</v>
      </c>
      <c r="G338" s="4">
        <f t="shared" si="17"/>
        <v>160238.8712724662</v>
      </c>
    </row>
    <row r="339" spans="1:7" x14ac:dyDescent="0.25">
      <c r="A339">
        <v>336</v>
      </c>
      <c r="B339" s="4">
        <f>-PPMT('Owner Occupier'!$D$41/12,'FHA Amotization'!$A339,360,'Owner Occupier'!$D$40,0,0)</f>
        <v>1699.1467451478889</v>
      </c>
      <c r="C339" s="4">
        <f>-IPMT('Owner Occupier'!$D$41/12,'FHA Amotization'!$A339,360,'Owner Occupier'!$D$40,0,0)</f>
        <v>157.01625487866485</v>
      </c>
      <c r="D339" s="4">
        <f t="shared" si="15"/>
        <v>1856.1630000265536</v>
      </c>
      <c r="E339" s="3">
        <f t="shared" si="16"/>
        <v>42634.85463235747</v>
      </c>
      <c r="F339" s="4">
        <f>('Owner Occupier'!$H$24-'Owner Occupier'!$D$52)/('Owner Occupier'!$D$56-'Owner Occupier'!$D$52)*B339</f>
        <v>817.67235276226188</v>
      </c>
      <c r="G339" s="4">
        <f t="shared" si="17"/>
        <v>161056.54362522846</v>
      </c>
    </row>
    <row r="340" spans="1:7" x14ac:dyDescent="0.25">
      <c r="A340">
        <v>337</v>
      </c>
      <c r="B340" s="4">
        <f>-PPMT('Owner Occupier'!$D$41/12,'FHA Amotization'!$A340,360,'Owner Occupier'!$D$40,0,0)</f>
        <v>1705.1645565369543</v>
      </c>
      <c r="C340" s="4">
        <f>-IPMT('Owner Occupier'!$D$41/12,'FHA Amotization'!$A340,360,'Owner Occupier'!$D$40,0,0)</f>
        <v>150.99844348959942</v>
      </c>
      <c r="D340" s="4">
        <f t="shared" si="15"/>
        <v>1856.1630000265536</v>
      </c>
      <c r="E340" s="3">
        <f t="shared" si="16"/>
        <v>40929.690075820516</v>
      </c>
      <c r="F340" s="4">
        <f>('Owner Occupier'!$H$24-'Owner Occupier'!$D$52)/('Owner Occupier'!$D$56-'Owner Occupier'!$D$52)*B340</f>
        <v>820.56827567829487</v>
      </c>
      <c r="G340" s="4">
        <f t="shared" si="17"/>
        <v>161877.11190090675</v>
      </c>
    </row>
    <row r="341" spans="1:7" x14ac:dyDescent="0.25">
      <c r="A341">
        <v>338</v>
      </c>
      <c r="B341" s="4">
        <f>-PPMT('Owner Occupier'!$D$41/12,'FHA Amotization'!$A341,360,'Owner Occupier'!$D$40,0,0)</f>
        <v>1711.2036810080228</v>
      </c>
      <c r="C341" s="4">
        <f>-IPMT('Owner Occupier'!$D$41/12,'FHA Amotization'!$A341,360,'Owner Occupier'!$D$40,0,0)</f>
        <v>144.95931901853103</v>
      </c>
      <c r="D341" s="4">
        <f t="shared" si="15"/>
        <v>1856.1630000265538</v>
      </c>
      <c r="E341" s="3">
        <f t="shared" si="16"/>
        <v>39218.486394812491</v>
      </c>
      <c r="F341" s="4">
        <f>('Owner Occupier'!$H$24-'Owner Occupier'!$D$52)/('Owner Occupier'!$D$56-'Owner Occupier'!$D$52)*B341</f>
        <v>823.47445498798891</v>
      </c>
      <c r="G341" s="4">
        <f t="shared" si="17"/>
        <v>162700.58635589475</v>
      </c>
    </row>
    <row r="342" spans="1:7" x14ac:dyDescent="0.25">
      <c r="A342">
        <v>339</v>
      </c>
      <c r="B342" s="4">
        <f>-PPMT('Owner Occupier'!$D$41/12,'FHA Amotization'!$A342,360,'Owner Occupier'!$D$40,0,0)</f>
        <v>1717.2641940449262</v>
      </c>
      <c r="C342" s="4">
        <f>-IPMT('Owner Occupier'!$D$41/12,'FHA Amotization'!$A342,360,'Owner Occupier'!$D$40,0,0)</f>
        <v>138.89880598162762</v>
      </c>
      <c r="D342" s="4">
        <f t="shared" si="15"/>
        <v>1856.1630000265538</v>
      </c>
      <c r="E342" s="3">
        <f t="shared" si="16"/>
        <v>37501.222200767566</v>
      </c>
      <c r="F342" s="4">
        <f>('Owner Occupier'!$H$24-'Owner Occupier'!$D$52)/('Owner Occupier'!$D$56-'Owner Occupier'!$D$52)*B342</f>
        <v>826.39092701607126</v>
      </c>
      <c r="G342" s="4">
        <f t="shared" si="17"/>
        <v>163526.97728291081</v>
      </c>
    </row>
    <row r="343" spans="1:7" x14ac:dyDescent="0.25">
      <c r="A343">
        <v>340</v>
      </c>
      <c r="B343" s="4">
        <f>-PPMT('Owner Occupier'!$D$41/12,'FHA Amotization'!$A343,360,'Owner Occupier'!$D$40,0,0)</f>
        <v>1723.3461713988354</v>
      </c>
      <c r="C343" s="4">
        <f>-IPMT('Owner Occupier'!$D$41/12,'FHA Amotization'!$A343,360,'Owner Occupier'!$D$40,0,0)</f>
        <v>132.81682862771851</v>
      </c>
      <c r="D343" s="4">
        <f t="shared" si="15"/>
        <v>1856.1630000265538</v>
      </c>
      <c r="E343" s="3">
        <f t="shared" si="16"/>
        <v>35777.87602936873</v>
      </c>
      <c r="F343" s="4">
        <f>('Owner Occupier'!$H$24-'Owner Occupier'!$D$52)/('Owner Occupier'!$D$56-'Owner Occupier'!$D$52)*B343</f>
        <v>829.31772821591994</v>
      </c>
      <c r="G343" s="4">
        <f t="shared" si="17"/>
        <v>164356.29501112673</v>
      </c>
    </row>
    <row r="344" spans="1:7" x14ac:dyDescent="0.25">
      <c r="A344">
        <v>341</v>
      </c>
      <c r="B344" s="4">
        <f>-PPMT('Owner Occupier'!$D$41/12,'FHA Amotization'!$A344,360,'Owner Occupier'!$D$40,0,0)</f>
        <v>1729.4496890892062</v>
      </c>
      <c r="C344" s="4">
        <f>-IPMT('Owner Occupier'!$D$41/12,'FHA Amotization'!$A344,360,'Owner Occupier'!$D$40,0,0)</f>
        <v>126.71331093734761</v>
      </c>
      <c r="D344" s="4">
        <f t="shared" si="15"/>
        <v>1856.1630000265538</v>
      </c>
      <c r="E344" s="3">
        <f t="shared" si="16"/>
        <v>34048.426340279526</v>
      </c>
      <c r="F344" s="4">
        <f>('Owner Occupier'!$H$24-'Owner Occupier'!$D$52)/('Owner Occupier'!$D$56-'Owner Occupier'!$D$52)*B344</f>
        <v>832.25489517001802</v>
      </c>
      <c r="G344" s="4">
        <f t="shared" si="17"/>
        <v>165188.54990629674</v>
      </c>
    </row>
    <row r="345" spans="1:7" x14ac:dyDescent="0.25">
      <c r="A345">
        <v>342</v>
      </c>
      <c r="B345" s="4">
        <f>-PPMT('Owner Occupier'!$D$41/12,'FHA Amotization'!$A345,360,'Owner Occupier'!$D$40,0,0)</f>
        <v>1735.5748234047303</v>
      </c>
      <c r="C345" s="4">
        <f>-IPMT('Owner Occupier'!$D$41/12,'FHA Amotization'!$A345,360,'Owner Occupier'!$D$40,0,0)</f>
        <v>120.58817662182334</v>
      </c>
      <c r="D345" s="4">
        <f t="shared" si="15"/>
        <v>1856.1630000265536</v>
      </c>
      <c r="E345" s="3">
        <f t="shared" si="16"/>
        <v>32312.851516874794</v>
      </c>
      <c r="F345" s="4">
        <f>('Owner Occupier'!$H$24-'Owner Occupier'!$D$52)/('Owner Occupier'!$D$56-'Owner Occupier'!$D$52)*B345</f>
        <v>835.20246459041164</v>
      </c>
      <c r="G345" s="4">
        <f t="shared" si="17"/>
        <v>166023.75237088714</v>
      </c>
    </row>
    <row r="346" spans="1:7" x14ac:dyDescent="0.25">
      <c r="A346">
        <v>343</v>
      </c>
      <c r="B346" s="4">
        <f>-PPMT('Owner Occupier'!$D$41/12,'FHA Amotization'!$A346,360,'Owner Occupier'!$D$40,0,0)</f>
        <v>1741.7216509042887</v>
      </c>
      <c r="C346" s="4">
        <f>-IPMT('Owner Occupier'!$D$41/12,'FHA Amotization'!$A346,360,'Owner Occupier'!$D$40,0,0)</f>
        <v>114.44134912226492</v>
      </c>
      <c r="D346" s="4">
        <f t="shared" si="15"/>
        <v>1856.1630000265536</v>
      </c>
      <c r="E346" s="3">
        <f t="shared" si="16"/>
        <v>30571.129865970506</v>
      </c>
      <c r="F346" s="4">
        <f>('Owner Occupier'!$H$24-'Owner Occupier'!$D$52)/('Owner Occupier'!$D$56-'Owner Occupier'!$D$52)*B346</f>
        <v>838.16047331916934</v>
      </c>
      <c r="G346" s="4">
        <f t="shared" si="17"/>
        <v>166861.91284420632</v>
      </c>
    </row>
    <row r="347" spans="1:7" x14ac:dyDescent="0.25">
      <c r="A347">
        <v>344</v>
      </c>
      <c r="B347" s="4">
        <f>-PPMT('Owner Occupier'!$D$41/12,'FHA Amotization'!$A347,360,'Owner Occupier'!$D$40,0,0)</f>
        <v>1747.8902484179082</v>
      </c>
      <c r="C347" s="4">
        <f>-IPMT('Owner Occupier'!$D$41/12,'FHA Amotization'!$A347,360,'Owner Occupier'!$D$40,0,0)</f>
        <v>108.27275160864558</v>
      </c>
      <c r="D347" s="4">
        <f t="shared" si="15"/>
        <v>1856.1630000265538</v>
      </c>
      <c r="E347" s="3">
        <f t="shared" si="16"/>
        <v>28823.239617552597</v>
      </c>
      <c r="F347" s="4">
        <f>('Owner Occupier'!$H$24-'Owner Occupier'!$D$52)/('Owner Occupier'!$D$56-'Owner Occupier'!$D$52)*B347</f>
        <v>841.12895832884146</v>
      </c>
      <c r="G347" s="4">
        <f t="shared" si="17"/>
        <v>167703.04180253515</v>
      </c>
    </row>
    <row r="348" spans="1:7" x14ac:dyDescent="0.25">
      <c r="A348">
        <v>345</v>
      </c>
      <c r="B348" s="4">
        <f>-PPMT('Owner Occupier'!$D$41/12,'FHA Amotization'!$A348,360,'Owner Occupier'!$D$40,0,0)</f>
        <v>1754.0806930477215</v>
      </c>
      <c r="C348" s="4">
        <f>-IPMT('Owner Occupier'!$D$41/12,'FHA Amotization'!$A348,360,'Owner Occupier'!$D$40,0,0)</f>
        <v>102.08230697883215</v>
      </c>
      <c r="D348" s="4">
        <f t="shared" si="15"/>
        <v>1856.1630000265536</v>
      </c>
      <c r="E348" s="3">
        <f t="shared" si="16"/>
        <v>27069.158924504874</v>
      </c>
      <c r="F348" s="4">
        <f>('Owner Occupier'!$H$24-'Owner Occupier'!$D$52)/('Owner Occupier'!$D$56-'Owner Occupier'!$D$52)*B348</f>
        <v>844.10795672292284</v>
      </c>
      <c r="G348" s="4">
        <f t="shared" si="17"/>
        <v>168547.14975925809</v>
      </c>
    </row>
    <row r="349" spans="1:7" x14ac:dyDescent="0.25">
      <c r="A349">
        <v>346</v>
      </c>
      <c r="B349" s="4">
        <f>-PPMT('Owner Occupier'!$D$41/12,'FHA Amotization'!$A349,360,'Owner Occupier'!$D$40,0,0)</f>
        <v>1760.2930621689322</v>
      </c>
      <c r="C349" s="4">
        <f>-IPMT('Owner Occupier'!$D$41/12,'FHA Amotization'!$A349,360,'Owner Occupier'!$D$40,0,0)</f>
        <v>95.869937857621466</v>
      </c>
      <c r="D349" s="4">
        <f t="shared" si="15"/>
        <v>1856.1630000265536</v>
      </c>
      <c r="E349" s="3">
        <f t="shared" si="16"/>
        <v>25308.865862335941</v>
      </c>
      <c r="F349" s="4">
        <f>('Owner Occupier'!$H$24-'Owner Occupier'!$D$52)/('Owner Occupier'!$D$56-'Owner Occupier'!$D$52)*B349</f>
        <v>847.09750573631652</v>
      </c>
      <c r="G349" s="4">
        <f t="shared" si="17"/>
        <v>169394.2472649944</v>
      </c>
    </row>
    <row r="350" spans="1:7" x14ac:dyDescent="0.25">
      <c r="A350">
        <v>347</v>
      </c>
      <c r="B350" s="4">
        <f>-PPMT('Owner Occupier'!$D$41/12,'FHA Amotization'!$A350,360,'Owner Occupier'!$D$40,0,0)</f>
        <v>1766.5274334307805</v>
      </c>
      <c r="C350" s="4">
        <f>-IPMT('Owner Occupier'!$D$41/12,'FHA Amotization'!$A350,360,'Owner Occupier'!$D$40,0,0)</f>
        <v>89.635566595773156</v>
      </c>
      <c r="D350" s="4">
        <f t="shared" si="15"/>
        <v>1856.1630000265536</v>
      </c>
      <c r="E350" s="3">
        <f t="shared" si="16"/>
        <v>23542.338428905161</v>
      </c>
      <c r="F350" s="4">
        <f>('Owner Occupier'!$H$24-'Owner Occupier'!$D$52)/('Owner Occupier'!$D$56-'Owner Occupier'!$D$52)*B350</f>
        <v>850.09764273579924</v>
      </c>
      <c r="G350" s="4">
        <f t="shared" si="17"/>
        <v>170244.34490773021</v>
      </c>
    </row>
    <row r="351" spans="1:7" x14ac:dyDescent="0.25">
      <c r="A351">
        <v>348</v>
      </c>
      <c r="B351" s="4">
        <f>-PPMT('Owner Occupier'!$D$41/12,'FHA Amotization'!$A351,360,'Owner Occupier'!$D$40,0,0)</f>
        <v>1772.7838847575147</v>
      </c>
      <c r="C351" s="4">
        <f>-IPMT('Owner Occupier'!$D$41/12,'FHA Amotization'!$A351,360,'Owner Occupier'!$D$40,0,0)</f>
        <v>83.379115269039133</v>
      </c>
      <c r="D351" s="4">
        <f t="shared" si="15"/>
        <v>1856.1630000265538</v>
      </c>
      <c r="E351" s="3">
        <f t="shared" si="16"/>
        <v>21769.554544147646</v>
      </c>
      <c r="F351" s="4">
        <f>('Owner Occupier'!$H$24-'Owner Occupier'!$D$52)/('Owner Occupier'!$D$56-'Owner Occupier'!$D$52)*B351</f>
        <v>853.10840522048863</v>
      </c>
      <c r="G351" s="4">
        <f t="shared" si="17"/>
        <v>171097.4533129507</v>
      </c>
    </row>
    <row r="352" spans="1:7" x14ac:dyDescent="0.25">
      <c r="A352">
        <v>349</v>
      </c>
      <c r="B352" s="4">
        <f>-PPMT('Owner Occupier'!$D$41/12,'FHA Amotization'!$A352,360,'Owner Occupier'!$D$40,0,0)</f>
        <v>1779.0624943493642</v>
      </c>
      <c r="C352" s="4">
        <f>-IPMT('Owner Occupier'!$D$41/12,'FHA Amotization'!$A352,360,'Owner Occupier'!$D$40,0,0)</f>
        <v>77.100505677189616</v>
      </c>
      <c r="D352" s="4">
        <f t="shared" si="15"/>
        <v>1856.1630000265538</v>
      </c>
      <c r="E352" s="3">
        <f t="shared" si="16"/>
        <v>19990.492049798282</v>
      </c>
      <c r="F352" s="4">
        <f>('Owner Occupier'!$H$24-'Owner Occupier'!$D$52)/('Owner Occupier'!$D$56-'Owner Occupier'!$D$52)*B352</f>
        <v>856.12983082231119</v>
      </c>
      <c r="G352" s="4">
        <f t="shared" si="17"/>
        <v>171953.58314377302</v>
      </c>
    </row>
    <row r="353" spans="1:7" x14ac:dyDescent="0.25">
      <c r="A353">
        <v>350</v>
      </c>
      <c r="B353" s="4">
        <f>-PPMT('Owner Occupier'!$D$41/12,'FHA Amotization'!$A353,360,'Owner Occupier'!$D$40,0,0)</f>
        <v>1785.3633406835181</v>
      </c>
      <c r="C353" s="4">
        <f>-IPMT('Owner Occupier'!$D$41/12,'FHA Amotization'!$A353,360,'Owner Occupier'!$D$40,0,0)</f>
        <v>70.799659343035614</v>
      </c>
      <c r="D353" s="4">
        <f t="shared" si="15"/>
        <v>1856.1630000265536</v>
      </c>
      <c r="E353" s="3">
        <f t="shared" si="16"/>
        <v>18205.128709114764</v>
      </c>
      <c r="F353" s="4">
        <f>('Owner Occupier'!$H$24-'Owner Occupier'!$D$52)/('Owner Occupier'!$D$56-'Owner Occupier'!$D$52)*B353</f>
        <v>859.16195730647348</v>
      </c>
      <c r="G353" s="4">
        <f t="shared" si="17"/>
        <v>172812.74510107949</v>
      </c>
    </row>
    <row r="354" spans="1:7" x14ac:dyDescent="0.25">
      <c r="A354">
        <v>351</v>
      </c>
      <c r="B354" s="4">
        <f>-PPMT('Owner Occupier'!$D$41/12,'FHA Amotization'!$A354,360,'Owner Occupier'!$D$40,0,0)</f>
        <v>1791.6865025151055</v>
      </c>
      <c r="C354" s="4">
        <f>-IPMT('Owner Occupier'!$D$41/12,'FHA Amotization'!$A354,360,'Owner Occupier'!$D$40,0,0)</f>
        <v>64.476497511448159</v>
      </c>
      <c r="D354" s="4">
        <f t="shared" si="15"/>
        <v>1856.1630000265536</v>
      </c>
      <c r="E354" s="3">
        <f t="shared" si="16"/>
        <v>16413.442206599659</v>
      </c>
      <c r="F354" s="4">
        <f>('Owner Occupier'!$H$24-'Owner Occupier'!$D$52)/('Owner Occupier'!$D$56-'Owner Occupier'!$D$52)*B354</f>
        <v>862.20482257193385</v>
      </c>
      <c r="G354" s="4">
        <f t="shared" si="17"/>
        <v>173674.94992365144</v>
      </c>
    </row>
    <row r="355" spans="1:7" x14ac:dyDescent="0.25">
      <c r="A355">
        <v>352</v>
      </c>
      <c r="B355" s="4">
        <f>-PPMT('Owner Occupier'!$D$41/12,'FHA Amotization'!$A355,360,'Owner Occupier'!$D$40,0,0)</f>
        <v>1798.0320588781799</v>
      </c>
      <c r="C355" s="4">
        <f>-IPMT('Owner Occupier'!$D$41/12,'FHA Amotization'!$A355,360,'Owner Occupier'!$D$40,0,0)</f>
        <v>58.130941148373822</v>
      </c>
      <c r="D355" s="4">
        <f t="shared" si="15"/>
        <v>1856.1630000265536</v>
      </c>
      <c r="E355" s="3">
        <f t="shared" si="16"/>
        <v>14615.410147721479</v>
      </c>
      <c r="F355" s="4">
        <f>('Owner Occupier'!$H$24-'Owner Occupier'!$D$52)/('Owner Occupier'!$D$56-'Owner Occupier'!$D$52)*B355</f>
        <v>865.25846465187612</v>
      </c>
      <c r="G355" s="4">
        <f t="shared" si="17"/>
        <v>174540.20838830332</v>
      </c>
    </row>
    <row r="356" spans="1:7" x14ac:dyDescent="0.25">
      <c r="A356">
        <v>353</v>
      </c>
      <c r="B356" s="4">
        <f>-PPMT('Owner Occupier'!$D$41/12,'FHA Amotization'!$A356,360,'Owner Occupier'!$D$40,0,0)</f>
        <v>1804.4000890867069</v>
      </c>
      <c r="C356" s="4">
        <f>-IPMT('Owner Occupier'!$D$41/12,'FHA Amotization'!$A356,360,'Owner Occupier'!$D$40,0,0)</f>
        <v>51.762910939846932</v>
      </c>
      <c r="D356" s="4">
        <f t="shared" si="15"/>
        <v>1856.1630000265538</v>
      </c>
      <c r="E356" s="3">
        <f t="shared" si="16"/>
        <v>12811.010058634773</v>
      </c>
      <c r="F356" s="4">
        <f>('Owner Occupier'!$H$24-'Owner Occupier'!$D$52)/('Owner Occupier'!$D$56-'Owner Occupier'!$D$52)*B356</f>
        <v>868.32292171418499</v>
      </c>
      <c r="G356" s="4">
        <f t="shared" si="17"/>
        <v>175408.53131001751</v>
      </c>
    </row>
    <row r="357" spans="1:7" x14ac:dyDescent="0.25">
      <c r="A357">
        <v>354</v>
      </c>
      <c r="B357" s="4">
        <f>-PPMT('Owner Occupier'!$D$41/12,'FHA Amotization'!$A357,360,'Owner Occupier'!$D$40,0,0)</f>
        <v>1810.7906727355555</v>
      </c>
      <c r="C357" s="4">
        <f>-IPMT('Owner Occupier'!$D$41/12,'FHA Amotization'!$A357,360,'Owner Occupier'!$D$40,0,0)</f>
        <v>45.372327290998179</v>
      </c>
      <c r="D357" s="4">
        <f t="shared" si="15"/>
        <v>1856.1630000265536</v>
      </c>
      <c r="E357" s="3">
        <f t="shared" si="16"/>
        <v>11000.219385899218</v>
      </c>
      <c r="F357" s="4">
        <f>('Owner Occupier'!$H$24-'Owner Occupier'!$D$52)/('Owner Occupier'!$D$56-'Owner Occupier'!$D$52)*B357</f>
        <v>871.39823206192261</v>
      </c>
      <c r="G357" s="4">
        <f t="shared" si="17"/>
        <v>176279.92954207942</v>
      </c>
    </row>
    <row r="358" spans="1:7" x14ac:dyDescent="0.25">
      <c r="A358">
        <v>355</v>
      </c>
      <c r="B358" s="4">
        <f>-PPMT('Owner Occupier'!$D$41/12,'FHA Amotization'!$A358,360,'Owner Occupier'!$D$40,0,0)</f>
        <v>1817.2038897014941</v>
      </c>
      <c r="C358" s="4">
        <f>-IPMT('Owner Occupier'!$D$41/12,'FHA Amotization'!$A358,360,'Owner Occupier'!$D$40,0,0)</f>
        <v>38.959110325059754</v>
      </c>
      <c r="D358" s="4">
        <f t="shared" si="15"/>
        <v>1856.1630000265538</v>
      </c>
      <c r="E358" s="3">
        <f t="shared" si="16"/>
        <v>9183.0154961977241</v>
      </c>
      <c r="F358" s="4">
        <f>('Owner Occupier'!$H$24-'Owner Occupier'!$D$52)/('Owner Occupier'!$D$56-'Owner Occupier'!$D$52)*B358</f>
        <v>874.48443413380869</v>
      </c>
      <c r="G358" s="4">
        <f t="shared" si="17"/>
        <v>177154.41397621323</v>
      </c>
    </row>
    <row r="359" spans="1:7" x14ac:dyDescent="0.25">
      <c r="A359">
        <v>356</v>
      </c>
      <c r="B359" s="4">
        <f>-PPMT('Owner Occupier'!$D$41/12,'FHA Amotization'!$A359,360,'Owner Occupier'!$D$40,0,0)</f>
        <v>1823.6398201441866</v>
      </c>
      <c r="C359" s="4">
        <f>-IPMT('Owner Occupier'!$D$41/12,'FHA Amotization'!$A359,360,'Owner Occupier'!$D$40,0,0)</f>
        <v>32.523179882366961</v>
      </c>
      <c r="D359" s="4">
        <f t="shared" si="15"/>
        <v>1856.1630000265536</v>
      </c>
      <c r="E359" s="3">
        <f t="shared" si="16"/>
        <v>7359.375676053538</v>
      </c>
      <c r="F359" s="4">
        <f>('Owner Occupier'!$H$24-'Owner Occupier'!$D$52)/('Owner Occupier'!$D$56-'Owner Occupier'!$D$52)*B359</f>
        <v>877.58156650469914</v>
      </c>
      <c r="G359" s="4">
        <f t="shared" si="17"/>
        <v>178031.99554271792</v>
      </c>
    </row>
    <row r="360" spans="1:7" x14ac:dyDescent="0.25">
      <c r="A360">
        <v>357</v>
      </c>
      <c r="B360" s="4">
        <f>-PPMT('Owner Occupier'!$D$41/12,'FHA Amotization'!$A360,360,'Owner Occupier'!$D$40,0,0)</f>
        <v>1830.0985445071974</v>
      </c>
      <c r="C360" s="4">
        <f>-IPMT('Owner Occupier'!$D$41/12,'FHA Amotization'!$A360,360,'Owner Occupier'!$D$40,0,0)</f>
        <v>26.064455519356297</v>
      </c>
      <c r="D360" s="4">
        <f t="shared" si="15"/>
        <v>1856.1630000265536</v>
      </c>
      <c r="E360" s="3">
        <f t="shared" si="16"/>
        <v>5529.2771315463406</v>
      </c>
      <c r="F360" s="4">
        <f>('Owner Occupier'!$H$24-'Owner Occupier'!$D$52)/('Owner Occupier'!$D$56-'Owner Occupier'!$D$52)*B360</f>
        <v>880.68966788606997</v>
      </c>
      <c r="G360" s="4">
        <f t="shared" si="17"/>
        <v>178912.68521060399</v>
      </c>
    </row>
    <row r="361" spans="1:7" x14ac:dyDescent="0.25">
      <c r="A361">
        <v>358</v>
      </c>
      <c r="B361" s="4">
        <f>-PPMT('Owner Occupier'!$D$41/12,'FHA Amotization'!$A361,360,'Owner Occupier'!$D$40,0,0)</f>
        <v>1836.580143518994</v>
      </c>
      <c r="C361" s="4">
        <f>-IPMT('Owner Occupier'!$D$41/12,'FHA Amotization'!$A361,360,'Owner Occupier'!$D$40,0,0)</f>
        <v>19.582856507559974</v>
      </c>
      <c r="D361" s="4">
        <f t="shared" si="15"/>
        <v>1856.1630000265538</v>
      </c>
      <c r="E361" s="3">
        <f t="shared" si="16"/>
        <v>3692.6969880273464</v>
      </c>
      <c r="F361" s="4">
        <f>('Owner Occupier'!$H$24-'Owner Occupier'!$D$52)/('Owner Occupier'!$D$56-'Owner Occupier'!$D$52)*B361</f>
        <v>883.80877712649999</v>
      </c>
      <c r="G361" s="4">
        <f t="shared" si="17"/>
        <v>179796.4939877305</v>
      </c>
    </row>
    <row r="362" spans="1:7" x14ac:dyDescent="0.25">
      <c r="A362">
        <v>359</v>
      </c>
      <c r="B362" s="4">
        <f>-PPMT('Owner Occupier'!$D$41/12,'FHA Amotization'!$A362,360,'Owner Occupier'!$D$40,0,0)</f>
        <v>1843.0846981939569</v>
      </c>
      <c r="C362" s="4">
        <f>-IPMT('Owner Occupier'!$D$41/12,'FHA Amotization'!$A362,360,'Owner Occupier'!$D$40,0,0)</f>
        <v>13.078301832596869</v>
      </c>
      <c r="D362" s="4">
        <f t="shared" si="15"/>
        <v>1856.1630000265538</v>
      </c>
      <c r="E362" s="3">
        <f t="shared" si="16"/>
        <v>1849.6122898333895</v>
      </c>
      <c r="F362" s="4">
        <f>('Owner Occupier'!$H$24-'Owner Occupier'!$D$52)/('Owner Occupier'!$D$56-'Owner Occupier'!$D$52)*B362</f>
        <v>886.93893321215626</v>
      </c>
      <c r="G362" s="4">
        <f t="shared" si="17"/>
        <v>180683.43292094267</v>
      </c>
    </row>
    <row r="363" spans="1:7" x14ac:dyDescent="0.25">
      <c r="A363">
        <v>360</v>
      </c>
      <c r="B363" s="4">
        <f>-PPMT('Owner Occupier'!$D$41/12,'FHA Amotization'!$A363,360,'Owner Occupier'!$D$40,0,0)</f>
        <v>1849.6122898333938</v>
      </c>
      <c r="C363" s="4">
        <f>-IPMT('Owner Occupier'!$D$41/12,'FHA Amotization'!$A363,360,'Owner Occupier'!$D$40,0,0)</f>
        <v>6.5507101931599374</v>
      </c>
      <c r="D363" s="4">
        <f t="shared" si="15"/>
        <v>1856.1630000265536</v>
      </c>
      <c r="E363" s="3">
        <f t="shared" si="16"/>
        <v>-4.3200998334214091E-12</v>
      </c>
      <c r="F363" s="4">
        <f>('Owner Occupier'!$H$24-'Owner Occupier'!$D$52)/('Owner Occupier'!$D$56-'Owner Occupier'!$D$52)*B363</f>
        <v>890.08017526728258</v>
      </c>
      <c r="G363" s="4">
        <f t="shared" si="17"/>
        <v>181573.51309620994</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9339-C2F6-4859-81D6-DADD0DC5A7C3}">
  <sheetPr codeName="Sheet3"/>
  <dimension ref="A1:J31"/>
  <sheetViews>
    <sheetView workbookViewId="0">
      <selection activeCell="N10" sqref="N10"/>
    </sheetView>
  </sheetViews>
  <sheetFormatPr defaultRowHeight="15" x14ac:dyDescent="0.25"/>
  <cols>
    <col min="3" max="3" width="12.7109375" bestFit="1" customWidth="1"/>
    <col min="5" max="5" width="22.42578125" bestFit="1" customWidth="1"/>
  </cols>
  <sheetData>
    <row r="1" spans="1:10" x14ac:dyDescent="0.25">
      <c r="A1" t="s">
        <v>7</v>
      </c>
      <c r="C1" t="s">
        <v>57</v>
      </c>
      <c r="E1" t="s">
        <v>58</v>
      </c>
      <c r="F1" t="s">
        <v>59</v>
      </c>
    </row>
    <row r="2" spans="1:10" x14ac:dyDescent="0.25">
      <c r="A2" s="2">
        <v>0</v>
      </c>
      <c r="C2" s="2">
        <v>0.01</v>
      </c>
      <c r="E2" s="6">
        <v>0</v>
      </c>
      <c r="F2" s="2">
        <v>0</v>
      </c>
      <c r="H2">
        <v>1</v>
      </c>
      <c r="J2" t="s">
        <v>60</v>
      </c>
    </row>
    <row r="3" spans="1:10" x14ac:dyDescent="0.25">
      <c r="A3" s="6">
        <v>3.5000000000000003E-2</v>
      </c>
      <c r="C3" s="2">
        <v>0.02</v>
      </c>
      <c r="E3" s="6">
        <v>0.01</v>
      </c>
      <c r="F3" s="2">
        <v>0.01</v>
      </c>
      <c r="H3">
        <v>2</v>
      </c>
      <c r="J3" t="s">
        <v>54</v>
      </c>
    </row>
    <row r="4" spans="1:10" x14ac:dyDescent="0.25">
      <c r="A4" s="2">
        <v>0.05</v>
      </c>
      <c r="C4" s="2">
        <v>0.03</v>
      </c>
      <c r="E4" s="6">
        <v>1.4999999999999999E-2</v>
      </c>
      <c r="F4" s="2">
        <v>0.02</v>
      </c>
      <c r="H4">
        <v>3</v>
      </c>
    </row>
    <row r="5" spans="1:10" x14ac:dyDescent="0.25">
      <c r="A5" s="2">
        <v>0.1</v>
      </c>
      <c r="C5" s="2">
        <v>0.04</v>
      </c>
      <c r="E5" s="6">
        <v>0.02</v>
      </c>
      <c r="F5" s="2">
        <v>0.03</v>
      </c>
      <c r="H5">
        <v>4</v>
      </c>
    </row>
    <row r="6" spans="1:10" x14ac:dyDescent="0.25">
      <c r="A6" s="2">
        <v>0.15</v>
      </c>
      <c r="C6" s="2">
        <v>0.05</v>
      </c>
      <c r="E6" s="6">
        <v>0.03</v>
      </c>
      <c r="F6" s="2">
        <v>0.04</v>
      </c>
      <c r="H6">
        <v>5</v>
      </c>
    </row>
    <row r="7" spans="1:10" x14ac:dyDescent="0.25">
      <c r="A7" s="2">
        <v>0.2</v>
      </c>
      <c r="C7" s="2">
        <v>0.06</v>
      </c>
      <c r="E7" s="6">
        <v>0.04</v>
      </c>
      <c r="F7" s="2">
        <v>0.05</v>
      </c>
      <c r="H7">
        <v>6</v>
      </c>
    </row>
    <row r="8" spans="1:10" x14ac:dyDescent="0.25">
      <c r="A8" s="2">
        <v>0.25</v>
      </c>
      <c r="C8" s="2">
        <v>7.0000000000000007E-2</v>
      </c>
      <c r="E8" s="6">
        <v>0.05</v>
      </c>
      <c r="F8" s="2">
        <v>0.06</v>
      </c>
      <c r="H8">
        <v>7</v>
      </c>
    </row>
    <row r="9" spans="1:10" x14ac:dyDescent="0.25">
      <c r="A9" s="2">
        <v>0.3</v>
      </c>
      <c r="C9" s="2">
        <v>0.08</v>
      </c>
      <c r="E9" s="6">
        <v>0.06</v>
      </c>
      <c r="F9" s="2">
        <v>7.0000000000000007E-2</v>
      </c>
      <c r="H9">
        <v>8</v>
      </c>
    </row>
    <row r="10" spans="1:10" x14ac:dyDescent="0.25">
      <c r="A10" s="2">
        <v>0.35</v>
      </c>
      <c r="C10" s="2">
        <v>0.09</v>
      </c>
      <c r="E10" s="6">
        <v>7.0000000000000007E-2</v>
      </c>
      <c r="F10" s="2">
        <v>0.08</v>
      </c>
      <c r="H10">
        <v>9</v>
      </c>
    </row>
    <row r="11" spans="1:10" x14ac:dyDescent="0.25">
      <c r="A11" s="2">
        <f>A10+0.05</f>
        <v>0.39999999999999997</v>
      </c>
      <c r="C11" s="2">
        <v>0.1</v>
      </c>
      <c r="E11" s="6">
        <v>0.08</v>
      </c>
      <c r="F11" s="2">
        <v>0.09</v>
      </c>
      <c r="H11">
        <v>10</v>
      </c>
    </row>
    <row r="12" spans="1:10" x14ac:dyDescent="0.25">
      <c r="A12" s="2">
        <f t="shared" ref="A12:A22" si="0">A11+0.05</f>
        <v>0.44999999999999996</v>
      </c>
      <c r="F12" s="2">
        <v>0.1</v>
      </c>
      <c r="H12">
        <v>11</v>
      </c>
    </row>
    <row r="13" spans="1:10" x14ac:dyDescent="0.25">
      <c r="A13" s="2">
        <f t="shared" si="0"/>
        <v>0.49999999999999994</v>
      </c>
      <c r="H13">
        <v>12</v>
      </c>
    </row>
    <row r="14" spans="1:10" x14ac:dyDescent="0.25">
      <c r="A14" s="2">
        <f t="shared" si="0"/>
        <v>0.54999999999999993</v>
      </c>
      <c r="H14">
        <v>13</v>
      </c>
    </row>
    <row r="15" spans="1:10" x14ac:dyDescent="0.25">
      <c r="A15" s="2">
        <f t="shared" si="0"/>
        <v>0.6</v>
      </c>
      <c r="H15">
        <v>14</v>
      </c>
    </row>
    <row r="16" spans="1:10" x14ac:dyDescent="0.25">
      <c r="A16" s="2">
        <f t="shared" si="0"/>
        <v>0.65</v>
      </c>
      <c r="H16">
        <v>15</v>
      </c>
    </row>
    <row r="17" spans="1:8" x14ac:dyDescent="0.25">
      <c r="A17" s="2">
        <f t="shared" si="0"/>
        <v>0.70000000000000007</v>
      </c>
      <c r="H17">
        <v>16</v>
      </c>
    </row>
    <row r="18" spans="1:8" x14ac:dyDescent="0.25">
      <c r="A18" s="2">
        <f t="shared" si="0"/>
        <v>0.75000000000000011</v>
      </c>
      <c r="H18">
        <v>17</v>
      </c>
    </row>
    <row r="19" spans="1:8" x14ac:dyDescent="0.25">
      <c r="A19" s="2">
        <f>A18+0.05</f>
        <v>0.80000000000000016</v>
      </c>
      <c r="H19">
        <v>18</v>
      </c>
    </row>
    <row r="20" spans="1:8" x14ac:dyDescent="0.25">
      <c r="A20" s="2">
        <f t="shared" si="0"/>
        <v>0.8500000000000002</v>
      </c>
      <c r="H20">
        <v>19</v>
      </c>
    </row>
    <row r="21" spans="1:8" x14ac:dyDescent="0.25">
      <c r="A21" s="2">
        <f t="shared" si="0"/>
        <v>0.90000000000000024</v>
      </c>
      <c r="H21">
        <v>20</v>
      </c>
    </row>
    <row r="22" spans="1:8" x14ac:dyDescent="0.25">
      <c r="A22" s="2">
        <f t="shared" si="0"/>
        <v>0.95000000000000029</v>
      </c>
      <c r="H22">
        <v>21</v>
      </c>
    </row>
    <row r="23" spans="1:8" x14ac:dyDescent="0.25">
      <c r="A23" s="2">
        <f>A22+0.05</f>
        <v>1.0000000000000002</v>
      </c>
      <c r="H23">
        <v>22</v>
      </c>
    </row>
    <row r="24" spans="1:8" x14ac:dyDescent="0.25">
      <c r="H24">
        <v>23</v>
      </c>
    </row>
    <row r="25" spans="1:8" x14ac:dyDescent="0.25">
      <c r="H25">
        <v>24</v>
      </c>
    </row>
    <row r="26" spans="1:8" x14ac:dyDescent="0.25">
      <c r="H26">
        <v>25</v>
      </c>
    </row>
    <row r="27" spans="1:8" x14ac:dyDescent="0.25">
      <c r="H27">
        <v>26</v>
      </c>
    </row>
    <row r="28" spans="1:8" x14ac:dyDescent="0.25">
      <c r="H28">
        <v>27</v>
      </c>
    </row>
    <row r="29" spans="1:8" x14ac:dyDescent="0.25">
      <c r="H29">
        <v>28</v>
      </c>
    </row>
    <row r="30" spans="1:8" x14ac:dyDescent="0.25">
      <c r="H30">
        <v>29</v>
      </c>
    </row>
    <row r="31" spans="1:8" x14ac:dyDescent="0.25">
      <c r="H31">
        <v>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1583-FDA8-48D9-924A-F4FAD3C99270}">
  <sheetPr codeName="Sheet4"/>
  <dimension ref="A1:E363"/>
  <sheetViews>
    <sheetView workbookViewId="0">
      <selection activeCell="F4" sqref="F4"/>
    </sheetView>
  </sheetViews>
  <sheetFormatPr defaultRowHeight="15" x14ac:dyDescent="0.25"/>
  <cols>
    <col min="2" max="2" width="17.28515625" bestFit="1" customWidth="1"/>
    <col min="3" max="3" width="23.5703125" bestFit="1" customWidth="1"/>
    <col min="4" max="4" width="23.5703125" customWidth="1"/>
    <col min="5" max="5" width="17.28515625" bestFit="1" customWidth="1"/>
  </cols>
  <sheetData>
    <row r="1" spans="1:5" ht="18.75" x14ac:dyDescent="0.3">
      <c r="A1" s="114" t="s">
        <v>61</v>
      </c>
      <c r="B1" s="114"/>
      <c r="C1" s="114"/>
      <c r="D1" s="5"/>
      <c r="E1" s="5"/>
    </row>
    <row r="2" spans="1:5" x14ac:dyDescent="0.25">
      <c r="E2" s="15"/>
    </row>
    <row r="3" spans="1:5" x14ac:dyDescent="0.25">
      <c r="A3" s="1" t="s">
        <v>62</v>
      </c>
      <c r="B3" s="1" t="s">
        <v>63</v>
      </c>
      <c r="C3" s="1" t="s">
        <v>64</v>
      </c>
      <c r="D3" s="1" t="s">
        <v>65</v>
      </c>
      <c r="E3" s="1" t="s">
        <v>66</v>
      </c>
    </row>
    <row r="4" spans="1:5" x14ac:dyDescent="0.25">
      <c r="A4">
        <v>1</v>
      </c>
      <c r="B4" s="4">
        <f>-PPMT('With Loan'!$D$41/12,'30% Down Amortization'!$A4,360,'With Loan'!$D$40,0,0)</f>
        <v>412.23487413291372</v>
      </c>
      <c r="C4" s="4">
        <f>-IPMT('With Loan'!$D$41/12,'30% Down Amortization'!$A4,360,'With Loan'!$D$40,0,0)</f>
        <v>855.31249999999989</v>
      </c>
      <c r="D4" s="4">
        <f>B4+C4</f>
        <v>1267.5473741329135</v>
      </c>
      <c r="E4" s="4">
        <f>'With Loan'!$D$40-'30% Down Amortization'!B4</f>
        <v>273287.7651258671</v>
      </c>
    </row>
    <row r="5" spans="1:5" x14ac:dyDescent="0.25">
      <c r="A5">
        <v>2</v>
      </c>
      <c r="B5" s="4">
        <f>-PPMT('With Loan'!$D$41/12,'30% Down Amortization'!$A5,360,'With Loan'!$D$40,0,0)</f>
        <v>413.52310811457909</v>
      </c>
      <c r="C5" s="4">
        <f>-IPMT('With Loan'!$D$41/12,'30% Down Amortization'!$A5,360,'With Loan'!$D$40,0,0)</f>
        <v>854.0242660183344</v>
      </c>
      <c r="D5" s="4">
        <f t="shared" ref="D5:D68" si="0">B5+C5</f>
        <v>1267.5473741329135</v>
      </c>
      <c r="E5" s="3">
        <f>E4-B5</f>
        <v>272874.24201775249</v>
      </c>
    </row>
    <row r="6" spans="1:5" x14ac:dyDescent="0.25">
      <c r="A6">
        <v>3</v>
      </c>
      <c r="B6" s="4">
        <f>-PPMT('With Loan'!$D$41/12,'30% Down Amortization'!$A6,360,'With Loan'!$D$40,0,0)</f>
        <v>414.81536782743711</v>
      </c>
      <c r="C6" s="4">
        <f>-IPMT('With Loan'!$D$41/12,'30% Down Amortization'!$A6,360,'With Loan'!$D$40,0,0)</f>
        <v>852.73200630547649</v>
      </c>
      <c r="D6" s="4">
        <f t="shared" si="0"/>
        <v>1267.5473741329135</v>
      </c>
      <c r="E6" s="3">
        <f t="shared" ref="E6:E33" si="1">E5-B6</f>
        <v>272459.42664992507</v>
      </c>
    </row>
    <row r="7" spans="1:5" x14ac:dyDescent="0.25">
      <c r="A7">
        <v>4</v>
      </c>
      <c r="B7" s="4">
        <f>-PPMT('With Loan'!$D$41/12,'30% Down Amortization'!$A7,360,'With Loan'!$D$40,0,0)</f>
        <v>416.1116658518979</v>
      </c>
      <c r="C7" s="4">
        <f>-IPMT('With Loan'!$D$41/12,'30% Down Amortization'!$A7,360,'With Loan'!$D$40,0,0)</f>
        <v>851.43570828101554</v>
      </c>
      <c r="D7" s="4">
        <f t="shared" si="0"/>
        <v>1267.5473741329133</v>
      </c>
      <c r="E7" s="3">
        <f t="shared" si="1"/>
        <v>272043.31498407316</v>
      </c>
    </row>
    <row r="8" spans="1:5" x14ac:dyDescent="0.25">
      <c r="A8">
        <v>5</v>
      </c>
      <c r="B8" s="4">
        <f>-PPMT('With Loan'!$D$41/12,'30% Down Amortization'!$A8,360,'With Loan'!$D$40,0,0)</f>
        <v>417.41201480768501</v>
      </c>
      <c r="C8" s="4">
        <f>-IPMT('With Loan'!$D$41/12,'30% Down Amortization'!$A8,360,'With Loan'!$D$40,0,0)</f>
        <v>850.13535932522859</v>
      </c>
      <c r="D8" s="4">
        <f t="shared" si="0"/>
        <v>1267.5473741329135</v>
      </c>
      <c r="E8" s="3">
        <f t="shared" si="1"/>
        <v>271625.90296926547</v>
      </c>
    </row>
    <row r="9" spans="1:5" x14ac:dyDescent="0.25">
      <c r="A9">
        <v>6</v>
      </c>
      <c r="B9" s="4">
        <f>-PPMT('With Loan'!$D$41/12,'30% Down Amortization'!$A9,360,'With Loan'!$D$40,0,0)</f>
        <v>418.71642735395903</v>
      </c>
      <c r="C9" s="4">
        <f>-IPMT('With Loan'!$D$41/12,'30% Down Amortization'!$A9,360,'With Loan'!$D$40,0,0)</f>
        <v>848.83094677895451</v>
      </c>
      <c r="D9" s="4">
        <f t="shared" si="0"/>
        <v>1267.5473741329135</v>
      </c>
      <c r="E9" s="3">
        <f t="shared" si="1"/>
        <v>271207.18654191151</v>
      </c>
    </row>
    <row r="10" spans="1:5" x14ac:dyDescent="0.25">
      <c r="A10">
        <v>7</v>
      </c>
      <c r="B10" s="4">
        <f>-PPMT('With Loan'!$D$41/12,'30% Down Amortization'!$A10,360,'With Loan'!$D$40,0,0)</f>
        <v>420.02491618944021</v>
      </c>
      <c r="C10" s="4">
        <f>-IPMT('With Loan'!$D$41/12,'30% Down Amortization'!$A10,360,'With Loan'!$D$40,0,0)</f>
        <v>847.52245794347334</v>
      </c>
      <c r="D10" s="4">
        <f t="shared" si="0"/>
        <v>1267.5473741329135</v>
      </c>
      <c r="E10" s="3">
        <f t="shared" si="1"/>
        <v>270787.16162572207</v>
      </c>
    </row>
    <row r="11" spans="1:5" x14ac:dyDescent="0.25">
      <c r="A11">
        <v>8</v>
      </c>
      <c r="B11" s="4">
        <f>-PPMT('With Loan'!$D$41/12,'30% Down Amortization'!$A11,360,'With Loan'!$D$40,0,0)</f>
        <v>421.33749405253218</v>
      </c>
      <c r="C11" s="4">
        <f>-IPMT('With Loan'!$D$41/12,'30% Down Amortization'!$A11,360,'With Loan'!$D$40,0,0)</f>
        <v>846.20988008038137</v>
      </c>
      <c r="D11" s="4">
        <f t="shared" si="0"/>
        <v>1267.5473741329135</v>
      </c>
      <c r="E11" s="3">
        <f t="shared" si="1"/>
        <v>270365.82413166953</v>
      </c>
    </row>
    <row r="12" spans="1:5" x14ac:dyDescent="0.25">
      <c r="A12">
        <v>9</v>
      </c>
      <c r="B12" s="4">
        <f>-PPMT('With Loan'!$D$41/12,'30% Down Amortization'!$A12,360,'With Loan'!$D$40,0,0)</f>
        <v>422.65417372144634</v>
      </c>
      <c r="C12" s="4">
        <f>-IPMT('With Loan'!$D$41/12,'30% Down Amortization'!$A12,360,'With Loan'!$D$40,0,0)</f>
        <v>844.89320041146721</v>
      </c>
      <c r="D12" s="4">
        <f t="shared" si="0"/>
        <v>1267.5473741329135</v>
      </c>
      <c r="E12" s="3">
        <f t="shared" si="1"/>
        <v>269943.16995794809</v>
      </c>
    </row>
    <row r="13" spans="1:5" x14ac:dyDescent="0.25">
      <c r="A13">
        <v>10</v>
      </c>
      <c r="B13" s="4">
        <f>-PPMT('With Loan'!$D$41/12,'30% Down Amortization'!$A13,360,'With Loan'!$D$40,0,0)</f>
        <v>423.97496801432595</v>
      </c>
      <c r="C13" s="4">
        <f>-IPMT('With Loan'!$D$41/12,'30% Down Amortization'!$A13,360,'With Loan'!$D$40,0,0)</f>
        <v>843.57240611858776</v>
      </c>
      <c r="D13" s="4">
        <f t="shared" si="0"/>
        <v>1267.5473741329138</v>
      </c>
      <c r="E13" s="3">
        <f t="shared" si="1"/>
        <v>269519.19498993375</v>
      </c>
    </row>
    <row r="14" spans="1:5" x14ac:dyDescent="0.25">
      <c r="A14">
        <v>11</v>
      </c>
      <c r="B14" s="4">
        <f>-PPMT('With Loan'!$D$41/12,'30% Down Amortization'!$A14,360,'With Loan'!$D$40,0,0)</f>
        <v>425.2998897893707</v>
      </c>
      <c r="C14" s="4">
        <f>-IPMT('With Loan'!$D$41/12,'30% Down Amortization'!$A14,360,'With Loan'!$D$40,0,0)</f>
        <v>842.24748434354285</v>
      </c>
      <c r="D14" s="4">
        <f t="shared" si="0"/>
        <v>1267.5473741329135</v>
      </c>
      <c r="E14" s="3">
        <f t="shared" si="1"/>
        <v>269093.89510014438</v>
      </c>
    </row>
    <row r="15" spans="1:5" x14ac:dyDescent="0.25">
      <c r="A15">
        <v>12</v>
      </c>
      <c r="B15" s="4">
        <f>-PPMT('With Loan'!$D$41/12,'30% Down Amortization'!$A15,360,'With Loan'!$D$40,0,0)</f>
        <v>426.62895194496235</v>
      </c>
      <c r="C15" s="4">
        <f>-IPMT('With Loan'!$D$41/12,'30% Down Amortization'!$A15,360,'With Loan'!$D$40,0,0)</f>
        <v>840.91842218795114</v>
      </c>
      <c r="D15" s="4">
        <f t="shared" si="0"/>
        <v>1267.5473741329135</v>
      </c>
      <c r="E15" s="3">
        <f t="shared" si="1"/>
        <v>268667.26614819944</v>
      </c>
    </row>
    <row r="16" spans="1:5" x14ac:dyDescent="0.25">
      <c r="A16">
        <v>13</v>
      </c>
      <c r="B16" s="4">
        <f>-PPMT('With Loan'!$D$41/12,'30% Down Amortization'!$A16,360,'With Loan'!$D$40,0,0)</f>
        <v>427.96216741979038</v>
      </c>
      <c r="C16" s="4">
        <f>-IPMT('With Loan'!$D$41/12,'30% Down Amortization'!$A16,360,'With Loan'!$D$40,0,0)</f>
        <v>839.58520671312317</v>
      </c>
      <c r="D16" s="4">
        <f t="shared" si="0"/>
        <v>1267.5473741329135</v>
      </c>
      <c r="E16" s="3">
        <f t="shared" si="1"/>
        <v>268239.30398077966</v>
      </c>
    </row>
    <row r="17" spans="1:5" x14ac:dyDescent="0.25">
      <c r="A17">
        <v>14</v>
      </c>
      <c r="B17" s="4">
        <f>-PPMT('With Loan'!$D$41/12,'30% Down Amortization'!$A17,360,'With Loan'!$D$40,0,0)</f>
        <v>429.29954919297728</v>
      </c>
      <c r="C17" s="4">
        <f>-IPMT('With Loan'!$D$41/12,'30% Down Amortization'!$A17,360,'With Loan'!$D$40,0,0)</f>
        <v>838.24782493993621</v>
      </c>
      <c r="D17" s="4">
        <f t="shared" si="0"/>
        <v>1267.5473741329135</v>
      </c>
      <c r="E17" s="3">
        <f t="shared" si="1"/>
        <v>267810.00443158665</v>
      </c>
    </row>
    <row r="18" spans="1:5" x14ac:dyDescent="0.25">
      <c r="A18">
        <v>15</v>
      </c>
      <c r="B18" s="4">
        <f>-PPMT('With Loan'!$D$41/12,'30% Down Amortization'!$A18,360,'With Loan'!$D$40,0,0)</f>
        <v>430.64111028420535</v>
      </c>
      <c r="C18" s="4">
        <f>-IPMT('With Loan'!$D$41/12,'30% Down Amortization'!$A18,360,'With Loan'!$D$40,0,0)</f>
        <v>836.90626384870836</v>
      </c>
      <c r="D18" s="4">
        <f t="shared" si="0"/>
        <v>1267.5473741329138</v>
      </c>
      <c r="E18" s="3">
        <f t="shared" si="1"/>
        <v>267379.36332130246</v>
      </c>
    </row>
    <row r="19" spans="1:5" x14ac:dyDescent="0.25">
      <c r="A19">
        <v>16</v>
      </c>
      <c r="B19" s="4">
        <f>-PPMT('With Loan'!$D$41/12,'30% Down Amortization'!$A19,360,'With Loan'!$D$40,0,0)</f>
        <v>431.98686375384347</v>
      </c>
      <c r="C19" s="4">
        <f>-IPMT('With Loan'!$D$41/12,'30% Down Amortization'!$A19,360,'With Loan'!$D$40,0,0)</f>
        <v>835.56051037907014</v>
      </c>
      <c r="D19" s="4">
        <f t="shared" si="0"/>
        <v>1267.5473741329135</v>
      </c>
      <c r="E19" s="3">
        <f t="shared" si="1"/>
        <v>266947.37645754864</v>
      </c>
    </row>
    <row r="20" spans="1:5" x14ac:dyDescent="0.25">
      <c r="A20">
        <v>17</v>
      </c>
      <c r="B20" s="4">
        <f>-PPMT('With Loan'!$D$41/12,'30% Down Amortization'!$A20,360,'With Loan'!$D$40,0,0)</f>
        <v>433.33682270307423</v>
      </c>
      <c r="C20" s="4">
        <f>-IPMT('With Loan'!$D$41/12,'30% Down Amortization'!$A20,360,'With Loan'!$D$40,0,0)</f>
        <v>834.21055142983926</v>
      </c>
      <c r="D20" s="4">
        <f t="shared" si="0"/>
        <v>1267.5473741329135</v>
      </c>
      <c r="E20" s="3">
        <f t="shared" si="1"/>
        <v>266514.03963484557</v>
      </c>
    </row>
    <row r="21" spans="1:5" x14ac:dyDescent="0.25">
      <c r="A21">
        <v>18</v>
      </c>
      <c r="B21" s="4">
        <f>-PPMT('With Loan'!$D$41/12,'30% Down Amortization'!$A21,360,'With Loan'!$D$40,0,0)</f>
        <v>434.69100027402135</v>
      </c>
      <c r="C21" s="4">
        <f>-IPMT('With Loan'!$D$41/12,'30% Down Amortization'!$A21,360,'With Loan'!$D$40,0,0)</f>
        <v>832.8563738588922</v>
      </c>
      <c r="D21" s="4">
        <f t="shared" si="0"/>
        <v>1267.5473741329135</v>
      </c>
      <c r="E21" s="3">
        <f t="shared" si="1"/>
        <v>266079.34863457154</v>
      </c>
    </row>
    <row r="22" spans="1:5" x14ac:dyDescent="0.25">
      <c r="A22">
        <v>19</v>
      </c>
      <c r="B22" s="4">
        <f>-PPMT('With Loan'!$D$41/12,'30% Down Amortization'!$A22,360,'With Loan'!$D$40,0,0)</f>
        <v>436.04940964987759</v>
      </c>
      <c r="C22" s="4">
        <f>-IPMT('With Loan'!$D$41/12,'30% Down Amortization'!$A22,360,'With Loan'!$D$40,0,0)</f>
        <v>831.49796448303596</v>
      </c>
      <c r="D22" s="4">
        <f t="shared" si="0"/>
        <v>1267.5473741329135</v>
      </c>
      <c r="E22" s="3">
        <f t="shared" si="1"/>
        <v>265643.29922492168</v>
      </c>
    </row>
    <row r="23" spans="1:5" x14ac:dyDescent="0.25">
      <c r="A23">
        <v>20</v>
      </c>
      <c r="B23" s="4">
        <f>-PPMT('With Loan'!$D$41/12,'30% Down Amortization'!$A23,360,'With Loan'!$D$40,0,0)</f>
        <v>437.41206405503357</v>
      </c>
      <c r="C23" s="4">
        <f>-IPMT('With Loan'!$D$41/12,'30% Down Amortization'!$A23,360,'With Loan'!$D$40,0,0)</f>
        <v>830.13531007788004</v>
      </c>
      <c r="D23" s="4">
        <f t="shared" si="0"/>
        <v>1267.5473741329135</v>
      </c>
      <c r="E23" s="3">
        <f t="shared" si="1"/>
        <v>265205.88716086664</v>
      </c>
    </row>
    <row r="24" spans="1:5" x14ac:dyDescent="0.25">
      <c r="A24">
        <v>21</v>
      </c>
      <c r="B24" s="4">
        <f>-PPMT('With Loan'!$D$41/12,'30% Down Amortization'!$A24,360,'With Loan'!$D$40,0,0)</f>
        <v>438.77897675520552</v>
      </c>
      <c r="C24" s="4">
        <f>-IPMT('With Loan'!$D$41/12,'30% Down Amortization'!$A24,360,'With Loan'!$D$40,0,0)</f>
        <v>828.7683973777082</v>
      </c>
      <c r="D24" s="4">
        <f t="shared" si="0"/>
        <v>1267.5473741329138</v>
      </c>
      <c r="E24" s="3">
        <f t="shared" si="1"/>
        <v>264767.10818411142</v>
      </c>
    </row>
    <row r="25" spans="1:5" x14ac:dyDescent="0.25">
      <c r="A25">
        <v>22</v>
      </c>
      <c r="B25" s="4">
        <f>-PPMT('With Loan'!$D$41/12,'30% Down Amortization'!$A25,360,'With Loan'!$D$40,0,0)</f>
        <v>440.15016105756547</v>
      </c>
      <c r="C25" s="4">
        <f>-IPMT('With Loan'!$D$41/12,'30% Down Amortization'!$A25,360,'With Loan'!$D$40,0,0)</f>
        <v>827.39721307534796</v>
      </c>
      <c r="D25" s="4">
        <f t="shared" si="0"/>
        <v>1267.5473741329133</v>
      </c>
      <c r="E25" s="3">
        <f t="shared" si="1"/>
        <v>264326.95802305383</v>
      </c>
    </row>
    <row r="26" spans="1:5" x14ac:dyDescent="0.25">
      <c r="A26">
        <v>23</v>
      </c>
      <c r="B26" s="4">
        <f>-PPMT('With Loan'!$D$41/12,'30% Down Amortization'!$A26,360,'With Loan'!$D$40,0,0)</f>
        <v>441.52563031087044</v>
      </c>
      <c r="C26" s="4">
        <f>-IPMT('With Loan'!$D$41/12,'30% Down Amortization'!$A26,360,'With Loan'!$D$40,0,0)</f>
        <v>826.02174382204294</v>
      </c>
      <c r="D26" s="4">
        <f t="shared" si="0"/>
        <v>1267.5473741329133</v>
      </c>
      <c r="E26" s="3">
        <f t="shared" si="1"/>
        <v>263885.43239274295</v>
      </c>
    </row>
    <row r="27" spans="1:5" x14ac:dyDescent="0.25">
      <c r="A27">
        <v>24</v>
      </c>
      <c r="B27" s="4">
        <f>-PPMT('With Loan'!$D$41/12,'30% Down Amortization'!$A27,360,'With Loan'!$D$40,0,0)</f>
        <v>442.90539790559194</v>
      </c>
      <c r="C27" s="4">
        <f>-IPMT('With Loan'!$D$41/12,'30% Down Amortization'!$A27,360,'With Loan'!$D$40,0,0)</f>
        <v>824.64197622732161</v>
      </c>
      <c r="D27" s="4">
        <f t="shared" si="0"/>
        <v>1267.5473741329135</v>
      </c>
      <c r="E27" s="3">
        <f t="shared" si="1"/>
        <v>263442.52699483733</v>
      </c>
    </row>
    <row r="28" spans="1:5" x14ac:dyDescent="0.25">
      <c r="A28">
        <v>25</v>
      </c>
      <c r="B28" s="4">
        <f>-PPMT('With Loan'!$D$41/12,'30% Down Amortization'!$A28,360,'With Loan'!$D$40,0,0)</f>
        <v>444.28947727404682</v>
      </c>
      <c r="C28" s="4">
        <f>-IPMT('With Loan'!$D$41/12,'30% Down Amortization'!$A28,360,'With Loan'!$D$40,0,0)</f>
        <v>823.25789685886662</v>
      </c>
      <c r="D28" s="4">
        <f t="shared" si="0"/>
        <v>1267.5473741329133</v>
      </c>
      <c r="E28" s="3">
        <f t="shared" si="1"/>
        <v>262998.23751756328</v>
      </c>
    </row>
    <row r="29" spans="1:5" x14ac:dyDescent="0.25">
      <c r="A29">
        <v>26</v>
      </c>
      <c r="B29" s="4">
        <f>-PPMT('With Loan'!$D$41/12,'30% Down Amortization'!$A29,360,'With Loan'!$D$40,0,0)</f>
        <v>445.67788189052834</v>
      </c>
      <c r="C29" s="4">
        <f>-IPMT('With Loan'!$D$41/12,'30% Down Amortization'!$A29,360,'With Loan'!$D$40,0,0)</f>
        <v>821.86949224238538</v>
      </c>
      <c r="D29" s="4">
        <f t="shared" si="0"/>
        <v>1267.5473741329138</v>
      </c>
      <c r="E29" s="3">
        <f t="shared" si="1"/>
        <v>262552.55963567278</v>
      </c>
    </row>
    <row r="30" spans="1:5" x14ac:dyDescent="0.25">
      <c r="A30">
        <v>27</v>
      </c>
      <c r="B30" s="4">
        <f>-PPMT('With Loan'!$D$41/12,'30% Down Amortization'!$A30,360,'With Loan'!$D$40,0,0)</f>
        <v>447.07062527143614</v>
      </c>
      <c r="C30" s="4">
        <f>-IPMT('With Loan'!$D$41/12,'30% Down Amortization'!$A30,360,'With Loan'!$D$40,0,0)</f>
        <v>820.4767488614774</v>
      </c>
      <c r="D30" s="4">
        <f t="shared" si="0"/>
        <v>1267.5473741329135</v>
      </c>
      <c r="E30" s="3">
        <f t="shared" si="1"/>
        <v>262105.48901040133</v>
      </c>
    </row>
    <row r="31" spans="1:5" x14ac:dyDescent="0.25">
      <c r="A31">
        <v>28</v>
      </c>
      <c r="B31" s="4">
        <f>-PPMT('With Loan'!$D$41/12,'30% Down Amortization'!$A31,360,'With Loan'!$D$40,0,0)</f>
        <v>448.46772097540941</v>
      </c>
      <c r="C31" s="4">
        <f>-IPMT('With Loan'!$D$41/12,'30% Down Amortization'!$A31,360,'With Loan'!$D$40,0,0)</f>
        <v>819.07965315750425</v>
      </c>
      <c r="D31" s="4">
        <f t="shared" si="0"/>
        <v>1267.5473741329138</v>
      </c>
      <c r="E31" s="3">
        <f t="shared" si="1"/>
        <v>261657.02128942593</v>
      </c>
    </row>
    <row r="32" spans="1:5" x14ac:dyDescent="0.25">
      <c r="A32">
        <v>29</v>
      </c>
      <c r="B32" s="4">
        <f>-PPMT('With Loan'!$D$41/12,'30% Down Amortization'!$A32,360,'With Loan'!$D$40,0,0)</f>
        <v>449.86918260345755</v>
      </c>
      <c r="C32" s="4">
        <f>-IPMT('With Loan'!$D$41/12,'30% Down Amortization'!$A32,360,'With Loan'!$D$40,0,0)</f>
        <v>817.67819152945606</v>
      </c>
      <c r="D32" s="4">
        <f t="shared" si="0"/>
        <v>1267.5473741329135</v>
      </c>
      <c r="E32" s="3">
        <f t="shared" si="1"/>
        <v>261207.15210682247</v>
      </c>
    </row>
    <row r="33" spans="1:5" x14ac:dyDescent="0.25">
      <c r="A33">
        <v>30</v>
      </c>
      <c r="B33" s="4">
        <f>-PPMT('With Loan'!$D$41/12,'30% Down Amortization'!$A33,360,'With Loan'!$D$40,0,0)</f>
        <v>451.27502379909333</v>
      </c>
      <c r="C33" s="4">
        <f>-IPMT('With Loan'!$D$41/12,'30% Down Amortization'!$A33,360,'With Loan'!$D$40,0,0)</f>
        <v>816.27235033382021</v>
      </c>
      <c r="D33" s="4">
        <f t="shared" si="0"/>
        <v>1267.5473741329135</v>
      </c>
      <c r="E33" s="3">
        <f t="shared" si="1"/>
        <v>260755.87708302337</v>
      </c>
    </row>
    <row r="34" spans="1:5" x14ac:dyDescent="0.25">
      <c r="A34">
        <v>31</v>
      </c>
      <c r="B34" s="4">
        <f>-PPMT('With Loan'!$D$41/12,'30% Down Amortization'!$A34,360,'With Loan'!$D$40,0,0)</f>
        <v>452.68525824846552</v>
      </c>
      <c r="C34" s="4">
        <f>-IPMT('With Loan'!$D$41/12,'30% Down Amortization'!$A34,360,'With Loan'!$D$40,0,0)</f>
        <v>814.86211588444814</v>
      </c>
      <c r="D34" s="4">
        <f t="shared" si="0"/>
        <v>1267.5473741329138</v>
      </c>
      <c r="E34" s="3">
        <f t="shared" ref="E34:E97" si="2">E33-B34</f>
        <v>260303.1918247749</v>
      </c>
    </row>
    <row r="35" spans="1:5" x14ac:dyDescent="0.25">
      <c r="A35">
        <v>32</v>
      </c>
      <c r="B35" s="4">
        <f>-PPMT('With Loan'!$D$41/12,'30% Down Amortization'!$A35,360,'With Loan'!$D$40,0,0)</f>
        <v>454.099899680492</v>
      </c>
      <c r="C35" s="4">
        <f>-IPMT('With Loan'!$D$41/12,'30% Down Amortization'!$A35,360,'With Loan'!$D$40,0,0)</f>
        <v>813.4474744524216</v>
      </c>
      <c r="D35" s="4">
        <f t="shared" si="0"/>
        <v>1267.5473741329135</v>
      </c>
      <c r="E35" s="3">
        <f t="shared" si="2"/>
        <v>259849.0919250944</v>
      </c>
    </row>
    <row r="36" spans="1:5" x14ac:dyDescent="0.25">
      <c r="A36">
        <v>33</v>
      </c>
      <c r="B36" s="4">
        <f>-PPMT('With Loan'!$D$41/12,'30% Down Amortization'!$A36,360,'With Loan'!$D$40,0,0)</f>
        <v>455.51896186699349</v>
      </c>
      <c r="C36" s="4">
        <f>-IPMT('With Loan'!$D$41/12,'30% Down Amortization'!$A36,360,'With Loan'!$D$40,0,0)</f>
        <v>812.02841226592011</v>
      </c>
      <c r="D36" s="4">
        <f t="shared" si="0"/>
        <v>1267.5473741329135</v>
      </c>
      <c r="E36" s="3">
        <f t="shared" si="2"/>
        <v>259393.5729632274</v>
      </c>
    </row>
    <row r="37" spans="1:5" x14ac:dyDescent="0.25">
      <c r="A37">
        <v>34</v>
      </c>
      <c r="B37" s="4">
        <f>-PPMT('With Loan'!$D$41/12,'30% Down Amortization'!$A37,360,'With Loan'!$D$40,0,0)</f>
        <v>456.94245862282781</v>
      </c>
      <c r="C37" s="4">
        <f>-IPMT('With Loan'!$D$41/12,'30% Down Amortization'!$A37,360,'With Loan'!$D$40,0,0)</f>
        <v>810.60491551008579</v>
      </c>
      <c r="D37" s="4">
        <f t="shared" si="0"/>
        <v>1267.5473741329135</v>
      </c>
      <c r="E37" s="3">
        <f t="shared" si="2"/>
        <v>258936.63050460457</v>
      </c>
    </row>
    <row r="38" spans="1:5" x14ac:dyDescent="0.25">
      <c r="A38">
        <v>35</v>
      </c>
      <c r="B38" s="4">
        <f>-PPMT('With Loan'!$D$41/12,'30% Down Amortization'!$A38,360,'With Loan'!$D$40,0,0)</f>
        <v>458.37040380602429</v>
      </c>
      <c r="C38" s="4">
        <f>-IPMT('With Loan'!$D$41/12,'30% Down Amortization'!$A38,360,'With Loan'!$D$40,0,0)</f>
        <v>809.17697032688932</v>
      </c>
      <c r="D38" s="4">
        <f t="shared" si="0"/>
        <v>1267.5473741329135</v>
      </c>
      <c r="E38" s="3">
        <f t="shared" si="2"/>
        <v>258478.26010079854</v>
      </c>
    </row>
    <row r="39" spans="1:5" x14ac:dyDescent="0.25">
      <c r="A39">
        <v>36</v>
      </c>
      <c r="B39" s="4">
        <f>-PPMT('With Loan'!$D$41/12,'30% Down Amortization'!$A39,360,'With Loan'!$D$40,0,0)</f>
        <v>459.80281131791804</v>
      </c>
      <c r="C39" s="4">
        <f>-IPMT('With Loan'!$D$41/12,'30% Down Amortization'!$A39,360,'With Loan'!$D$40,0,0)</f>
        <v>807.74456281499556</v>
      </c>
      <c r="D39" s="4">
        <f t="shared" si="0"/>
        <v>1267.5473741329135</v>
      </c>
      <c r="E39" s="3">
        <f t="shared" si="2"/>
        <v>258018.4572894806</v>
      </c>
    </row>
    <row r="40" spans="1:5" x14ac:dyDescent="0.25">
      <c r="A40">
        <v>37</v>
      </c>
      <c r="B40" s="4">
        <f>-PPMT('With Loan'!$D$41/12,'30% Down Amortization'!$A40,360,'With Loan'!$D$40,0,0)</f>
        <v>461.23969510328646</v>
      </c>
      <c r="C40" s="4">
        <f>-IPMT('With Loan'!$D$41/12,'30% Down Amortization'!$A40,360,'With Loan'!$D$40,0,0)</f>
        <v>806.30767902962714</v>
      </c>
      <c r="D40" s="4">
        <f t="shared" si="0"/>
        <v>1267.5473741329135</v>
      </c>
      <c r="E40" s="3">
        <f t="shared" si="2"/>
        <v>257557.21759437732</v>
      </c>
    </row>
    <row r="41" spans="1:5" x14ac:dyDescent="0.25">
      <c r="A41">
        <v>38</v>
      </c>
      <c r="B41" s="4">
        <f>-PPMT('With Loan'!$D$41/12,'30% Down Amortization'!$A41,360,'With Loan'!$D$40,0,0)</f>
        <v>462.68106915048435</v>
      </c>
      <c r="C41" s="4">
        <f>-IPMT('With Loan'!$D$41/12,'30% Down Amortization'!$A41,360,'With Loan'!$D$40,0,0)</f>
        <v>804.86630498242937</v>
      </c>
      <c r="D41" s="4">
        <f t="shared" si="0"/>
        <v>1267.5473741329138</v>
      </c>
      <c r="E41" s="3">
        <f t="shared" si="2"/>
        <v>257094.53652522684</v>
      </c>
    </row>
    <row r="42" spans="1:5" x14ac:dyDescent="0.25">
      <c r="A42">
        <v>39</v>
      </c>
      <c r="B42" s="4">
        <f>-PPMT('With Loan'!$D$41/12,'30% Down Amortization'!$A42,360,'With Loan'!$D$40,0,0)</f>
        <v>464.12694749157959</v>
      </c>
      <c r="C42" s="4">
        <f>-IPMT('With Loan'!$D$41/12,'30% Down Amortization'!$A42,360,'With Loan'!$D$40,0,0)</f>
        <v>803.42042664133385</v>
      </c>
      <c r="D42" s="4">
        <f t="shared" si="0"/>
        <v>1267.5473741329133</v>
      </c>
      <c r="E42" s="3">
        <f t="shared" si="2"/>
        <v>256630.40957773526</v>
      </c>
    </row>
    <row r="43" spans="1:5" x14ac:dyDescent="0.25">
      <c r="A43">
        <v>40</v>
      </c>
      <c r="B43" s="4">
        <f>-PPMT('With Loan'!$D$41/12,'30% Down Amortization'!$A43,360,'With Loan'!$D$40,0,0)</f>
        <v>465.57734420249068</v>
      </c>
      <c r="C43" s="4">
        <f>-IPMT('With Loan'!$D$41/12,'30% Down Amortization'!$A43,360,'With Loan'!$D$40,0,0)</f>
        <v>801.97002993042281</v>
      </c>
      <c r="D43" s="4">
        <f t="shared" si="0"/>
        <v>1267.5473741329135</v>
      </c>
      <c r="E43" s="3">
        <f t="shared" si="2"/>
        <v>256164.83223353277</v>
      </c>
    </row>
    <row r="44" spans="1:5" x14ac:dyDescent="0.25">
      <c r="A44">
        <v>41</v>
      </c>
      <c r="B44" s="4">
        <f>-PPMT('With Loan'!$D$41/12,'30% Down Amortization'!$A44,360,'With Loan'!$D$40,0,0)</f>
        <v>467.03227340312355</v>
      </c>
      <c r="C44" s="4">
        <f>-IPMT('With Loan'!$D$41/12,'30% Down Amortization'!$A44,360,'With Loan'!$D$40,0,0)</f>
        <v>800.51510072978999</v>
      </c>
      <c r="D44" s="4">
        <f t="shared" si="0"/>
        <v>1267.5473741329135</v>
      </c>
      <c r="E44" s="3">
        <f t="shared" si="2"/>
        <v>255697.79996012963</v>
      </c>
    </row>
    <row r="45" spans="1:5" x14ac:dyDescent="0.25">
      <c r="A45">
        <v>42</v>
      </c>
      <c r="B45" s="4">
        <f>-PPMT('With Loan'!$D$41/12,'30% Down Amortization'!$A45,360,'With Loan'!$D$40,0,0)</f>
        <v>468.49174925750839</v>
      </c>
      <c r="C45" s="4">
        <f>-IPMT('With Loan'!$D$41/12,'30% Down Amortization'!$A45,360,'With Loan'!$D$40,0,0)</f>
        <v>799.05562487540521</v>
      </c>
      <c r="D45" s="4">
        <f t="shared" si="0"/>
        <v>1267.5473741329135</v>
      </c>
      <c r="E45" s="3">
        <f t="shared" si="2"/>
        <v>255229.30821087211</v>
      </c>
    </row>
    <row r="46" spans="1:5" x14ac:dyDescent="0.25">
      <c r="A46">
        <v>43</v>
      </c>
      <c r="B46" s="4">
        <f>-PPMT('With Loan'!$D$41/12,'30% Down Amortization'!$A46,360,'With Loan'!$D$40,0,0)</f>
        <v>469.95578597393813</v>
      </c>
      <c r="C46" s="4">
        <f>-IPMT('With Loan'!$D$41/12,'30% Down Amortization'!$A46,360,'With Loan'!$D$40,0,0)</f>
        <v>797.59158815897558</v>
      </c>
      <c r="D46" s="4">
        <f t="shared" si="0"/>
        <v>1267.5473741329138</v>
      </c>
      <c r="E46" s="3">
        <f t="shared" si="2"/>
        <v>254759.35242489818</v>
      </c>
    </row>
    <row r="47" spans="1:5" x14ac:dyDescent="0.25">
      <c r="A47">
        <v>44</v>
      </c>
      <c r="B47" s="4">
        <f>-PPMT('With Loan'!$D$41/12,'30% Down Amortization'!$A47,360,'With Loan'!$D$40,0,0)</f>
        <v>471.42439780510665</v>
      </c>
      <c r="C47" s="4">
        <f>-IPMT('With Loan'!$D$41/12,'30% Down Amortization'!$A47,360,'With Loan'!$D$40,0,0)</f>
        <v>796.1229763278069</v>
      </c>
      <c r="D47" s="4">
        <f t="shared" si="0"/>
        <v>1267.5473741329135</v>
      </c>
      <c r="E47" s="3">
        <f t="shared" si="2"/>
        <v>254287.92802709309</v>
      </c>
    </row>
    <row r="48" spans="1:5" x14ac:dyDescent="0.25">
      <c r="A48">
        <v>45</v>
      </c>
      <c r="B48" s="4">
        <f>-PPMT('With Loan'!$D$41/12,'30% Down Amortization'!$A48,360,'With Loan'!$D$40,0,0)</f>
        <v>472.89759904824757</v>
      </c>
      <c r="C48" s="4">
        <f>-IPMT('With Loan'!$D$41/12,'30% Down Amortization'!$A48,360,'With Loan'!$D$40,0,0)</f>
        <v>794.64977508466598</v>
      </c>
      <c r="D48" s="4">
        <f t="shared" si="0"/>
        <v>1267.5473741329135</v>
      </c>
      <c r="E48" s="3">
        <f t="shared" si="2"/>
        <v>253815.03042804485</v>
      </c>
    </row>
    <row r="49" spans="1:5" x14ac:dyDescent="0.25">
      <c r="A49">
        <v>46</v>
      </c>
      <c r="B49" s="4">
        <f>-PPMT('With Loan'!$D$41/12,'30% Down Amortization'!$A49,360,'With Loan'!$D$40,0,0)</f>
        <v>474.37540404527334</v>
      </c>
      <c r="C49" s="4">
        <f>-IPMT('With Loan'!$D$41/12,'30% Down Amortization'!$A49,360,'With Loan'!$D$40,0,0)</f>
        <v>793.17197008764037</v>
      </c>
      <c r="D49" s="4">
        <f t="shared" si="0"/>
        <v>1267.5473741329138</v>
      </c>
      <c r="E49" s="3">
        <f t="shared" si="2"/>
        <v>253340.65502399957</v>
      </c>
    </row>
    <row r="50" spans="1:5" x14ac:dyDescent="0.25">
      <c r="A50">
        <v>47</v>
      </c>
      <c r="B50" s="4">
        <f>-PPMT('With Loan'!$D$41/12,'30% Down Amortization'!$A50,360,'With Loan'!$D$40,0,0)</f>
        <v>475.85782718291472</v>
      </c>
      <c r="C50" s="4">
        <f>-IPMT('With Loan'!$D$41/12,'30% Down Amortization'!$A50,360,'With Loan'!$D$40,0,0)</f>
        <v>791.68954694999866</v>
      </c>
      <c r="D50" s="4">
        <f t="shared" si="0"/>
        <v>1267.5473741329133</v>
      </c>
      <c r="E50" s="3">
        <f t="shared" si="2"/>
        <v>252864.79719681665</v>
      </c>
    </row>
    <row r="51" spans="1:5" x14ac:dyDescent="0.25">
      <c r="A51">
        <v>48</v>
      </c>
      <c r="B51" s="4">
        <f>-PPMT('With Loan'!$D$41/12,'30% Down Amortization'!$A51,360,'With Loan'!$D$40,0,0)</f>
        <v>477.34488289286134</v>
      </c>
      <c r="C51" s="4">
        <f>-IPMT('With Loan'!$D$41/12,'30% Down Amortization'!$A51,360,'With Loan'!$D$40,0,0)</f>
        <v>790.20249124005204</v>
      </c>
      <c r="D51" s="4">
        <f t="shared" si="0"/>
        <v>1267.5473741329133</v>
      </c>
      <c r="E51" s="3">
        <f t="shared" si="2"/>
        <v>252387.4523139238</v>
      </c>
    </row>
    <row r="52" spans="1:5" x14ac:dyDescent="0.25">
      <c r="A52">
        <v>49</v>
      </c>
      <c r="B52" s="4">
        <f>-PPMT('With Loan'!$D$41/12,'30% Down Amortization'!$A52,360,'With Loan'!$D$40,0,0)</f>
        <v>478.83658565190149</v>
      </c>
      <c r="C52" s="4">
        <f>-IPMT('With Loan'!$D$41/12,'30% Down Amortization'!$A52,360,'With Loan'!$D$40,0,0)</f>
        <v>788.71078848101206</v>
      </c>
      <c r="D52" s="4">
        <f t="shared" si="0"/>
        <v>1267.5473741329135</v>
      </c>
      <c r="E52" s="3">
        <f t="shared" si="2"/>
        <v>251908.61572827189</v>
      </c>
    </row>
    <row r="53" spans="1:5" x14ac:dyDescent="0.25">
      <c r="A53">
        <v>50</v>
      </c>
      <c r="B53" s="4">
        <f>-PPMT('With Loan'!$D$41/12,'30% Down Amortization'!$A53,360,'With Loan'!$D$40,0,0)</f>
        <v>480.33294998206378</v>
      </c>
      <c r="C53" s="4">
        <f>-IPMT('With Loan'!$D$41/12,'30% Down Amortization'!$A53,360,'With Loan'!$D$40,0,0)</f>
        <v>787.21442415084982</v>
      </c>
      <c r="D53" s="4">
        <f t="shared" si="0"/>
        <v>1267.5473741329135</v>
      </c>
      <c r="E53" s="3">
        <f t="shared" si="2"/>
        <v>251428.28277828984</v>
      </c>
    </row>
    <row r="54" spans="1:5" x14ac:dyDescent="0.25">
      <c r="A54">
        <v>51</v>
      </c>
      <c r="B54" s="4">
        <f>-PPMT('With Loan'!$D$41/12,'30% Down Amortization'!$A54,360,'With Loan'!$D$40,0,0)</f>
        <v>481.83399045075771</v>
      </c>
      <c r="C54" s="4">
        <f>-IPMT('With Loan'!$D$41/12,'30% Down Amortization'!$A54,360,'With Loan'!$D$40,0,0)</f>
        <v>785.71338368215595</v>
      </c>
      <c r="D54" s="4">
        <f t="shared" si="0"/>
        <v>1267.5473741329138</v>
      </c>
      <c r="E54" s="3">
        <f t="shared" si="2"/>
        <v>250946.44878783909</v>
      </c>
    </row>
    <row r="55" spans="1:5" x14ac:dyDescent="0.25">
      <c r="A55">
        <v>52</v>
      </c>
      <c r="B55" s="4">
        <f>-PPMT('With Loan'!$D$41/12,'30% Down Amortization'!$A55,360,'With Loan'!$D$40,0,0)</f>
        <v>483.33972167091628</v>
      </c>
      <c r="C55" s="4">
        <f>-IPMT('With Loan'!$D$41/12,'30% Down Amortization'!$A55,360,'With Loan'!$D$40,0,0)</f>
        <v>784.20765246199721</v>
      </c>
      <c r="D55" s="4">
        <f t="shared" si="0"/>
        <v>1267.5473741329135</v>
      </c>
      <c r="E55" s="3">
        <f t="shared" si="2"/>
        <v>250463.10906616817</v>
      </c>
    </row>
    <row r="56" spans="1:5" x14ac:dyDescent="0.25">
      <c r="A56">
        <v>53</v>
      </c>
      <c r="B56" s="4">
        <f>-PPMT('With Loan'!$D$41/12,'30% Down Amortization'!$A56,360,'With Loan'!$D$40,0,0)</f>
        <v>484.85015830113792</v>
      </c>
      <c r="C56" s="4">
        <f>-IPMT('With Loan'!$D$41/12,'30% Down Amortization'!$A56,360,'With Loan'!$D$40,0,0)</f>
        <v>782.69721583177545</v>
      </c>
      <c r="D56" s="4">
        <f t="shared" si="0"/>
        <v>1267.5473741329133</v>
      </c>
      <c r="E56" s="3">
        <f t="shared" si="2"/>
        <v>249978.25890786704</v>
      </c>
    </row>
    <row r="57" spans="1:5" x14ac:dyDescent="0.25">
      <c r="A57">
        <v>54</v>
      </c>
      <c r="B57" s="4">
        <f>-PPMT('With Loan'!$D$41/12,'30% Down Amortization'!$A57,360,'With Loan'!$D$40,0,0)</f>
        <v>486.36531504582905</v>
      </c>
      <c r="C57" s="4">
        <f>-IPMT('With Loan'!$D$41/12,'30% Down Amortization'!$A57,360,'With Loan'!$D$40,0,0)</f>
        <v>781.18205908708455</v>
      </c>
      <c r="D57" s="4">
        <f t="shared" si="0"/>
        <v>1267.5473741329135</v>
      </c>
      <c r="E57" s="3">
        <f t="shared" si="2"/>
        <v>249491.8935928212</v>
      </c>
    </row>
    <row r="58" spans="1:5" x14ac:dyDescent="0.25">
      <c r="A58">
        <v>55</v>
      </c>
      <c r="B58" s="4">
        <f>-PPMT('With Loan'!$D$41/12,'30% Down Amortization'!$A58,360,'With Loan'!$D$40,0,0)</f>
        <v>487.88520665534719</v>
      </c>
      <c r="C58" s="4">
        <f>-IPMT('With Loan'!$D$41/12,'30% Down Amortization'!$A58,360,'With Loan'!$D$40,0,0)</f>
        <v>779.6621674775663</v>
      </c>
      <c r="D58" s="4">
        <f t="shared" si="0"/>
        <v>1267.5473741329135</v>
      </c>
      <c r="E58" s="3">
        <f t="shared" si="2"/>
        <v>249004.00838616586</v>
      </c>
    </row>
    <row r="59" spans="1:5" x14ac:dyDescent="0.25">
      <c r="A59">
        <v>56</v>
      </c>
      <c r="B59" s="4">
        <f>-PPMT('With Loan'!$D$41/12,'30% Down Amortization'!$A59,360,'With Loan'!$D$40,0,0)</f>
        <v>489.40984792614523</v>
      </c>
      <c r="C59" s="4">
        <f>-IPMT('With Loan'!$D$41/12,'30% Down Amortization'!$A59,360,'With Loan'!$D$40,0,0)</f>
        <v>778.13752620676848</v>
      </c>
      <c r="D59" s="4">
        <f t="shared" si="0"/>
        <v>1267.5473741329138</v>
      </c>
      <c r="E59" s="3">
        <f t="shared" si="2"/>
        <v>248514.59853823972</v>
      </c>
    </row>
    <row r="60" spans="1:5" x14ac:dyDescent="0.25">
      <c r="A60">
        <v>57</v>
      </c>
      <c r="B60" s="4">
        <f>-PPMT('With Loan'!$D$41/12,'30% Down Amortization'!$A60,360,'With Loan'!$D$40,0,0)</f>
        <v>490.93925370091443</v>
      </c>
      <c r="C60" s="4">
        <f>-IPMT('With Loan'!$D$41/12,'30% Down Amortization'!$A60,360,'With Loan'!$D$40,0,0)</f>
        <v>776.60812043199905</v>
      </c>
      <c r="D60" s="4">
        <f t="shared" si="0"/>
        <v>1267.5473741329135</v>
      </c>
      <c r="E60" s="3">
        <f t="shared" si="2"/>
        <v>248023.65928453879</v>
      </c>
    </row>
    <row r="61" spans="1:5" x14ac:dyDescent="0.25">
      <c r="A61">
        <v>58</v>
      </c>
      <c r="B61" s="4">
        <f>-PPMT('With Loan'!$D$41/12,'30% Down Amortization'!$A61,360,'With Loan'!$D$40,0,0)</f>
        <v>492.47343886872972</v>
      </c>
      <c r="C61" s="4">
        <f>-IPMT('With Loan'!$D$41/12,'30% Down Amortization'!$A61,360,'With Loan'!$D$40,0,0)</f>
        <v>775.07393526418389</v>
      </c>
      <c r="D61" s="4">
        <f t="shared" si="0"/>
        <v>1267.5473741329135</v>
      </c>
      <c r="E61" s="3">
        <f t="shared" si="2"/>
        <v>247531.18584567006</v>
      </c>
    </row>
    <row r="62" spans="1:5" x14ac:dyDescent="0.25">
      <c r="A62">
        <v>59</v>
      </c>
      <c r="B62" s="4">
        <f>-PPMT('With Loan'!$D$41/12,'30% Down Amortization'!$A62,360,'With Loan'!$D$40,0,0)</f>
        <v>494.01241836519455</v>
      </c>
      <c r="C62" s="4">
        <f>-IPMT('With Loan'!$D$41/12,'30% Down Amortization'!$A62,360,'With Loan'!$D$40,0,0)</f>
        <v>773.534955767719</v>
      </c>
      <c r="D62" s="4">
        <f t="shared" si="0"/>
        <v>1267.5473741329135</v>
      </c>
      <c r="E62" s="3">
        <f t="shared" si="2"/>
        <v>247037.17342730486</v>
      </c>
    </row>
    <row r="63" spans="1:5" x14ac:dyDescent="0.25">
      <c r="A63">
        <v>60</v>
      </c>
      <c r="B63" s="4">
        <f>-PPMT('With Loan'!$D$41/12,'30% Down Amortization'!$A63,360,'With Loan'!$D$40,0,0)</f>
        <v>495.55620717258574</v>
      </c>
      <c r="C63" s="4">
        <f>-IPMT('With Loan'!$D$41/12,'30% Down Amortization'!$A63,360,'With Loan'!$D$40,0,0)</f>
        <v>771.99116696032786</v>
      </c>
      <c r="D63" s="4">
        <f t="shared" si="0"/>
        <v>1267.5473741329135</v>
      </c>
      <c r="E63" s="3">
        <f t="shared" si="2"/>
        <v>246541.61722013229</v>
      </c>
    </row>
    <row r="64" spans="1:5" x14ac:dyDescent="0.25">
      <c r="A64">
        <v>61</v>
      </c>
      <c r="B64" s="4">
        <f>-PPMT('With Loan'!$D$41/12,'30% Down Amortization'!$A64,360,'With Loan'!$D$40,0,0)</f>
        <v>497.10482032000004</v>
      </c>
      <c r="C64" s="4">
        <f>-IPMT('With Loan'!$D$41/12,'30% Down Amortization'!$A64,360,'With Loan'!$D$40,0,0)</f>
        <v>770.44255381291362</v>
      </c>
      <c r="D64" s="4">
        <f t="shared" si="0"/>
        <v>1267.5473741329138</v>
      </c>
      <c r="E64" s="3">
        <f t="shared" si="2"/>
        <v>246044.51239981229</v>
      </c>
    </row>
    <row r="65" spans="1:5" x14ac:dyDescent="0.25">
      <c r="A65">
        <v>62</v>
      </c>
      <c r="B65" s="4">
        <f>-PPMT('With Loan'!$D$41/12,'30% Down Amortization'!$A65,360,'With Loan'!$D$40,0,0)</f>
        <v>498.65827288350005</v>
      </c>
      <c r="C65" s="4">
        <f>-IPMT('With Loan'!$D$41/12,'30% Down Amortization'!$A65,360,'With Loan'!$D$40,0,0)</f>
        <v>768.88910124941344</v>
      </c>
      <c r="D65" s="4">
        <f t="shared" si="0"/>
        <v>1267.5473741329135</v>
      </c>
      <c r="E65" s="3">
        <f t="shared" si="2"/>
        <v>245545.85412692878</v>
      </c>
    </row>
    <row r="66" spans="1:5" x14ac:dyDescent="0.25">
      <c r="A66">
        <v>63</v>
      </c>
      <c r="B66" s="4">
        <f>-PPMT('With Loan'!$D$41/12,'30% Down Amortization'!$A66,360,'With Loan'!$D$40,0,0)</f>
        <v>500.21657998626102</v>
      </c>
      <c r="C66" s="4">
        <f>-IPMT('With Loan'!$D$41/12,'30% Down Amortization'!$A66,360,'With Loan'!$D$40,0,0)</f>
        <v>767.33079414665235</v>
      </c>
      <c r="D66" s="4">
        <f t="shared" si="0"/>
        <v>1267.5473741329133</v>
      </c>
      <c r="E66" s="3">
        <f t="shared" si="2"/>
        <v>245045.63754694251</v>
      </c>
    </row>
    <row r="67" spans="1:5" x14ac:dyDescent="0.25">
      <c r="A67">
        <v>64</v>
      </c>
      <c r="B67" s="4">
        <f>-PPMT('With Loan'!$D$41/12,'30% Down Amortization'!$A67,360,'With Loan'!$D$40,0,0)</f>
        <v>501.7797567987181</v>
      </c>
      <c r="C67" s="4">
        <f>-IPMT('With Loan'!$D$41/12,'30% Down Amortization'!$A67,360,'With Loan'!$D$40,0,0)</f>
        <v>765.76761733419539</v>
      </c>
      <c r="D67" s="4">
        <f t="shared" si="0"/>
        <v>1267.5473741329135</v>
      </c>
      <c r="E67" s="3">
        <f t="shared" si="2"/>
        <v>244543.85779014378</v>
      </c>
    </row>
    <row r="68" spans="1:5" x14ac:dyDescent="0.25">
      <c r="A68">
        <v>65</v>
      </c>
      <c r="B68" s="4">
        <f>-PPMT('With Loan'!$D$41/12,'30% Down Amortization'!$A68,360,'With Loan'!$D$40,0,0)</f>
        <v>503.34781853871402</v>
      </c>
      <c r="C68" s="4">
        <f>-IPMT('With Loan'!$D$41/12,'30% Down Amortization'!$A68,360,'With Loan'!$D$40,0,0)</f>
        <v>764.19955559419952</v>
      </c>
      <c r="D68" s="4">
        <f t="shared" si="0"/>
        <v>1267.5473741329135</v>
      </c>
      <c r="E68" s="3">
        <f t="shared" si="2"/>
        <v>244040.50997160506</v>
      </c>
    </row>
    <row r="69" spans="1:5" x14ac:dyDescent="0.25">
      <c r="A69">
        <v>66</v>
      </c>
      <c r="B69" s="4">
        <f>-PPMT('With Loan'!$D$41/12,'30% Down Amortization'!$A69,360,'With Loan'!$D$40,0,0)</f>
        <v>504.92078047164762</v>
      </c>
      <c r="C69" s="4">
        <f>-IPMT('With Loan'!$D$41/12,'30% Down Amortization'!$A69,360,'With Loan'!$D$40,0,0)</f>
        <v>762.62659366126604</v>
      </c>
      <c r="D69" s="4">
        <f t="shared" ref="D69:D132" si="3">B69+C69</f>
        <v>1267.5473741329138</v>
      </c>
      <c r="E69" s="3">
        <f t="shared" si="2"/>
        <v>243535.58919113342</v>
      </c>
    </row>
    <row r="70" spans="1:5" x14ac:dyDescent="0.25">
      <c r="A70">
        <v>67</v>
      </c>
      <c r="B70" s="4">
        <f>-PPMT('With Loan'!$D$41/12,'30% Down Amortization'!$A70,360,'With Loan'!$D$40,0,0)</f>
        <v>506.49865791062143</v>
      </c>
      <c r="C70" s="4">
        <f>-IPMT('With Loan'!$D$41/12,'30% Down Amortization'!$A70,360,'With Loan'!$D$40,0,0)</f>
        <v>761.04871622229223</v>
      </c>
      <c r="D70" s="4">
        <f t="shared" si="3"/>
        <v>1267.5473741329138</v>
      </c>
      <c r="E70" s="3">
        <f t="shared" si="2"/>
        <v>243029.0905332228</v>
      </c>
    </row>
    <row r="71" spans="1:5" x14ac:dyDescent="0.25">
      <c r="A71">
        <v>68</v>
      </c>
      <c r="B71" s="4">
        <f>-PPMT('With Loan'!$D$41/12,'30% Down Amortization'!$A71,360,'With Loan'!$D$40,0,0)</f>
        <v>508.08146621659222</v>
      </c>
      <c r="C71" s="4">
        <f>-IPMT('With Loan'!$D$41/12,'30% Down Amortization'!$A71,360,'With Loan'!$D$40,0,0)</f>
        <v>759.4659079163215</v>
      </c>
      <c r="D71" s="4">
        <f t="shared" si="3"/>
        <v>1267.5473741329138</v>
      </c>
      <c r="E71" s="3">
        <f t="shared" si="2"/>
        <v>242521.00906700621</v>
      </c>
    </row>
    <row r="72" spans="1:5" x14ac:dyDescent="0.25">
      <c r="A72">
        <v>69</v>
      </c>
      <c r="B72" s="4">
        <f>-PPMT('With Loan'!$D$41/12,'30% Down Amortization'!$A72,360,'With Loan'!$D$40,0,0)</f>
        <v>509.66922079851895</v>
      </c>
      <c r="C72" s="4">
        <f>-IPMT('With Loan'!$D$41/12,'30% Down Amortization'!$A72,360,'With Loan'!$D$40,0,0)</f>
        <v>757.8781533343946</v>
      </c>
      <c r="D72" s="4">
        <f t="shared" si="3"/>
        <v>1267.5473741329135</v>
      </c>
      <c r="E72" s="3">
        <f t="shared" si="2"/>
        <v>242011.33984620767</v>
      </c>
    </row>
    <row r="73" spans="1:5" x14ac:dyDescent="0.25">
      <c r="A73">
        <v>70</v>
      </c>
      <c r="B73" s="4">
        <f>-PPMT('With Loan'!$D$41/12,'30% Down Amortization'!$A73,360,'With Loan'!$D$40,0,0)</f>
        <v>511.26193711351431</v>
      </c>
      <c r="C73" s="4">
        <f>-IPMT('With Loan'!$D$41/12,'30% Down Amortization'!$A73,360,'With Loan'!$D$40,0,0)</f>
        <v>756.28543701939918</v>
      </c>
      <c r="D73" s="4">
        <f t="shared" si="3"/>
        <v>1267.5473741329135</v>
      </c>
      <c r="E73" s="3">
        <f t="shared" si="2"/>
        <v>241500.07790909417</v>
      </c>
    </row>
    <row r="74" spans="1:5" x14ac:dyDescent="0.25">
      <c r="A74">
        <v>71</v>
      </c>
      <c r="B74" s="4">
        <f>-PPMT('With Loan'!$D$41/12,'30% Down Amortization'!$A74,360,'With Loan'!$D$40,0,0)</f>
        <v>512.85963066699424</v>
      </c>
      <c r="C74" s="4">
        <f>-IPMT('With Loan'!$D$41/12,'30% Down Amortization'!$A74,360,'With Loan'!$D$40,0,0)</f>
        <v>754.68774346591943</v>
      </c>
      <c r="D74" s="4">
        <f t="shared" si="3"/>
        <v>1267.5473741329138</v>
      </c>
      <c r="E74" s="3">
        <f t="shared" si="2"/>
        <v>240987.21827842717</v>
      </c>
    </row>
    <row r="75" spans="1:5" x14ac:dyDescent="0.25">
      <c r="A75">
        <v>72</v>
      </c>
      <c r="B75" s="4">
        <f>-PPMT('With Loan'!$D$41/12,'30% Down Amortization'!$A75,360,'With Loan'!$D$40,0,0)</f>
        <v>514.46231701282841</v>
      </c>
      <c r="C75" s="4">
        <f>-IPMT('With Loan'!$D$41/12,'30% Down Amortization'!$A75,360,'With Loan'!$D$40,0,0)</f>
        <v>753.08505712008503</v>
      </c>
      <c r="D75" s="4">
        <f t="shared" si="3"/>
        <v>1267.5473741329133</v>
      </c>
      <c r="E75" s="3">
        <f t="shared" si="2"/>
        <v>240472.75596141434</v>
      </c>
    </row>
    <row r="76" spans="1:5" x14ac:dyDescent="0.25">
      <c r="A76">
        <v>73</v>
      </c>
      <c r="B76" s="4">
        <f>-PPMT('With Loan'!$D$41/12,'30% Down Amortization'!$A76,360,'With Loan'!$D$40,0,0)</f>
        <v>516.07001175349353</v>
      </c>
      <c r="C76" s="4">
        <f>-IPMT('With Loan'!$D$41/12,'30% Down Amortization'!$A76,360,'With Loan'!$D$40,0,0)</f>
        <v>751.47736237942001</v>
      </c>
      <c r="D76" s="4">
        <f t="shared" si="3"/>
        <v>1267.5473741329135</v>
      </c>
      <c r="E76" s="3">
        <f t="shared" si="2"/>
        <v>239956.68594966084</v>
      </c>
    </row>
    <row r="77" spans="1:5" x14ac:dyDescent="0.25">
      <c r="A77">
        <v>74</v>
      </c>
      <c r="B77" s="4">
        <f>-PPMT('With Loan'!$D$41/12,'30% Down Amortization'!$A77,360,'With Loan'!$D$40,0,0)</f>
        <v>517.68273054022325</v>
      </c>
      <c r="C77" s="4">
        <f>-IPMT('With Loan'!$D$41/12,'30% Down Amortization'!$A77,360,'With Loan'!$D$40,0,0)</f>
        <v>749.8646435926903</v>
      </c>
      <c r="D77" s="4">
        <f t="shared" si="3"/>
        <v>1267.5473741329135</v>
      </c>
      <c r="E77" s="3">
        <f t="shared" si="2"/>
        <v>239439.00321912061</v>
      </c>
    </row>
    <row r="78" spans="1:5" x14ac:dyDescent="0.25">
      <c r="A78">
        <v>75</v>
      </c>
      <c r="B78" s="4">
        <f>-PPMT('With Loan'!$D$41/12,'30% Down Amortization'!$A78,360,'With Loan'!$D$40,0,0)</f>
        <v>519.30048907316132</v>
      </c>
      <c r="C78" s="4">
        <f>-IPMT('With Loan'!$D$41/12,'30% Down Amortization'!$A78,360,'With Loan'!$D$40,0,0)</f>
        <v>748.24688505975223</v>
      </c>
      <c r="D78" s="4">
        <f t="shared" si="3"/>
        <v>1267.5473741329135</v>
      </c>
      <c r="E78" s="3">
        <f t="shared" si="2"/>
        <v>238919.70273004746</v>
      </c>
    </row>
    <row r="79" spans="1:5" x14ac:dyDescent="0.25">
      <c r="A79">
        <v>76</v>
      </c>
      <c r="B79" s="4">
        <f>-PPMT('With Loan'!$D$41/12,'30% Down Amortization'!$A79,360,'With Loan'!$D$40,0,0)</f>
        <v>520.9233031015151</v>
      </c>
      <c r="C79" s="4">
        <f>-IPMT('With Loan'!$D$41/12,'30% Down Amortization'!$A79,360,'With Loan'!$D$40,0,0)</f>
        <v>746.62407103139856</v>
      </c>
      <c r="D79" s="4">
        <f t="shared" si="3"/>
        <v>1267.5473741329138</v>
      </c>
      <c r="E79" s="3">
        <f t="shared" si="2"/>
        <v>238398.77942694596</v>
      </c>
    </row>
    <row r="80" spans="1:5" x14ac:dyDescent="0.25">
      <c r="A80">
        <v>77</v>
      </c>
      <c r="B80" s="4">
        <f>-PPMT('With Loan'!$D$41/12,'30% Down Amortization'!$A80,360,'With Loan'!$D$40,0,0)</f>
        <v>522.55118842370723</v>
      </c>
      <c r="C80" s="4">
        <f>-IPMT('With Loan'!$D$41/12,'30% Down Amortization'!$A80,360,'With Loan'!$D$40,0,0)</f>
        <v>744.9961857092062</v>
      </c>
      <c r="D80" s="4">
        <f t="shared" si="3"/>
        <v>1267.5473741329133</v>
      </c>
      <c r="E80" s="3">
        <f t="shared" si="2"/>
        <v>237876.22823852225</v>
      </c>
    </row>
    <row r="81" spans="1:5" x14ac:dyDescent="0.25">
      <c r="A81">
        <v>78</v>
      </c>
      <c r="B81" s="4">
        <f>-PPMT('With Loan'!$D$41/12,'30% Down Amortization'!$A81,360,'With Loan'!$D$40,0,0)</f>
        <v>524.18416088753133</v>
      </c>
      <c r="C81" s="4">
        <f>-IPMT('With Loan'!$D$41/12,'30% Down Amortization'!$A81,360,'With Loan'!$D$40,0,0)</f>
        <v>743.36321324538221</v>
      </c>
      <c r="D81" s="4">
        <f t="shared" si="3"/>
        <v>1267.5473741329135</v>
      </c>
      <c r="E81" s="3">
        <f t="shared" si="2"/>
        <v>237352.04407763472</v>
      </c>
    </row>
    <row r="82" spans="1:5" x14ac:dyDescent="0.25">
      <c r="A82">
        <v>79</v>
      </c>
      <c r="B82" s="4">
        <f>-PPMT('With Loan'!$D$41/12,'30% Down Amortization'!$A82,360,'With Loan'!$D$40,0,0)</f>
        <v>525.82223639030485</v>
      </c>
      <c r="C82" s="4">
        <f>-IPMT('With Loan'!$D$41/12,'30% Down Amortization'!$A82,360,'With Loan'!$D$40,0,0)</f>
        <v>741.72513774260858</v>
      </c>
      <c r="D82" s="4">
        <f t="shared" si="3"/>
        <v>1267.5473741329133</v>
      </c>
      <c r="E82" s="3">
        <f t="shared" si="2"/>
        <v>236826.22184124441</v>
      </c>
    </row>
    <row r="83" spans="1:5" x14ac:dyDescent="0.25">
      <c r="A83">
        <v>80</v>
      </c>
      <c r="B83" s="4">
        <f>-PPMT('With Loan'!$D$41/12,'30% Down Amortization'!$A83,360,'With Loan'!$D$40,0,0)</f>
        <v>527.46543087902467</v>
      </c>
      <c r="C83" s="4">
        <f>-IPMT('With Loan'!$D$41/12,'30% Down Amortization'!$A83,360,'With Loan'!$D$40,0,0)</f>
        <v>740.08194325388899</v>
      </c>
      <c r="D83" s="4">
        <f t="shared" si="3"/>
        <v>1267.5473741329138</v>
      </c>
      <c r="E83" s="3">
        <f t="shared" si="2"/>
        <v>236298.75641036537</v>
      </c>
    </row>
    <row r="84" spans="1:5" x14ac:dyDescent="0.25">
      <c r="A84">
        <v>81</v>
      </c>
      <c r="B84" s="4">
        <f>-PPMT('With Loan'!$D$41/12,'30% Down Amortization'!$A84,360,'With Loan'!$D$40,0,0)</f>
        <v>529.11376035052149</v>
      </c>
      <c r="C84" s="4">
        <f>-IPMT('With Loan'!$D$41/12,'30% Down Amortization'!$A84,360,'With Loan'!$D$40,0,0)</f>
        <v>738.43361378239194</v>
      </c>
      <c r="D84" s="4">
        <f t="shared" si="3"/>
        <v>1267.5473741329133</v>
      </c>
      <c r="E84" s="3">
        <f t="shared" si="2"/>
        <v>235769.64265001484</v>
      </c>
    </row>
    <row r="85" spans="1:5" x14ac:dyDescent="0.25">
      <c r="A85">
        <v>82</v>
      </c>
      <c r="B85" s="4">
        <f>-PPMT('With Loan'!$D$41/12,'30% Down Amortization'!$A85,360,'With Loan'!$D$40,0,0)</f>
        <v>530.76724085161698</v>
      </c>
      <c r="C85" s="4">
        <f>-IPMT('With Loan'!$D$41/12,'30% Down Amortization'!$A85,360,'With Loan'!$D$40,0,0)</f>
        <v>736.78013328129657</v>
      </c>
      <c r="D85" s="4">
        <f t="shared" si="3"/>
        <v>1267.5473741329135</v>
      </c>
      <c r="E85" s="3">
        <f t="shared" si="2"/>
        <v>235238.87540916321</v>
      </c>
    </row>
    <row r="86" spans="1:5" x14ac:dyDescent="0.25">
      <c r="A86">
        <v>83</v>
      </c>
      <c r="B86" s="4">
        <f>-PPMT('With Loan'!$D$41/12,'30% Down Amortization'!$A86,360,'With Loan'!$D$40,0,0)</f>
        <v>532.42588847927823</v>
      </c>
      <c r="C86" s="4">
        <f>-IPMT('With Loan'!$D$41/12,'30% Down Amortization'!$A86,360,'With Loan'!$D$40,0,0)</f>
        <v>735.12148565363532</v>
      </c>
      <c r="D86" s="4">
        <f t="shared" si="3"/>
        <v>1267.5473741329135</v>
      </c>
      <c r="E86" s="3">
        <f t="shared" si="2"/>
        <v>234706.44952068393</v>
      </c>
    </row>
    <row r="87" spans="1:5" x14ac:dyDescent="0.25">
      <c r="A87">
        <v>84</v>
      </c>
      <c r="B87" s="4">
        <f>-PPMT('With Loan'!$D$41/12,'30% Down Amortization'!$A87,360,'With Loan'!$D$40,0,0)</f>
        <v>534.08971938077593</v>
      </c>
      <c r="C87" s="4">
        <f>-IPMT('With Loan'!$D$41/12,'30% Down Amortization'!$A87,360,'With Loan'!$D$40,0,0)</f>
        <v>733.45765475213773</v>
      </c>
      <c r="D87" s="4">
        <f t="shared" si="3"/>
        <v>1267.5473741329138</v>
      </c>
      <c r="E87" s="3">
        <f t="shared" si="2"/>
        <v>234172.35980130316</v>
      </c>
    </row>
    <row r="88" spans="1:5" x14ac:dyDescent="0.25">
      <c r="A88">
        <v>85</v>
      </c>
      <c r="B88" s="4">
        <f>-PPMT('With Loan'!$D$41/12,'30% Down Amortization'!$A88,360,'With Loan'!$D$40,0,0)</f>
        <v>535.7587497538409</v>
      </c>
      <c r="C88" s="4">
        <f>-IPMT('With Loan'!$D$41/12,'30% Down Amortization'!$A88,360,'With Loan'!$D$40,0,0)</f>
        <v>731.78862437907276</v>
      </c>
      <c r="D88" s="4">
        <f t="shared" si="3"/>
        <v>1267.5473741329138</v>
      </c>
      <c r="E88" s="3">
        <f t="shared" si="2"/>
        <v>233636.60105154931</v>
      </c>
    </row>
    <row r="89" spans="1:5" x14ac:dyDescent="0.25">
      <c r="A89">
        <v>86</v>
      </c>
      <c r="B89" s="4">
        <f>-PPMT('With Loan'!$D$41/12,'30% Down Amortization'!$A89,360,'With Loan'!$D$40,0,0)</f>
        <v>537.43299584682165</v>
      </c>
      <c r="C89" s="4">
        <f>-IPMT('With Loan'!$D$41/12,'30% Down Amortization'!$A89,360,'With Loan'!$D$40,0,0)</f>
        <v>730.11437828609189</v>
      </c>
      <c r="D89" s="4">
        <f t="shared" si="3"/>
        <v>1267.5473741329135</v>
      </c>
      <c r="E89" s="3">
        <f t="shared" si="2"/>
        <v>233099.1680557025</v>
      </c>
    </row>
    <row r="90" spans="1:5" x14ac:dyDescent="0.25">
      <c r="A90">
        <v>87</v>
      </c>
      <c r="B90" s="4">
        <f>-PPMT('With Loan'!$D$41/12,'30% Down Amortization'!$A90,360,'With Loan'!$D$40,0,0)</f>
        <v>539.112473958843</v>
      </c>
      <c r="C90" s="4">
        <f>-IPMT('With Loan'!$D$41/12,'30% Down Amortization'!$A90,360,'With Loan'!$D$40,0,0)</f>
        <v>728.43490017407055</v>
      </c>
      <c r="D90" s="4">
        <f t="shared" si="3"/>
        <v>1267.5473741329135</v>
      </c>
      <c r="E90" s="3">
        <f t="shared" si="2"/>
        <v>232560.05558174365</v>
      </c>
    </row>
    <row r="91" spans="1:5" x14ac:dyDescent="0.25">
      <c r="A91">
        <v>88</v>
      </c>
      <c r="B91" s="4">
        <f>-PPMT('With Loan'!$D$41/12,'30% Down Amortization'!$A91,360,'With Loan'!$D$40,0,0)</f>
        <v>540.7972004399644</v>
      </c>
      <c r="C91" s="4">
        <f>-IPMT('With Loan'!$D$41/12,'30% Down Amortization'!$A91,360,'With Loan'!$D$40,0,0)</f>
        <v>726.75017369294926</v>
      </c>
      <c r="D91" s="4">
        <f t="shared" si="3"/>
        <v>1267.5473741329138</v>
      </c>
      <c r="E91" s="3">
        <f t="shared" si="2"/>
        <v>232019.25838130369</v>
      </c>
    </row>
    <row r="92" spans="1:5" x14ac:dyDescent="0.25">
      <c r="A92">
        <v>89</v>
      </c>
      <c r="B92" s="4">
        <f>-PPMT('With Loan'!$D$41/12,'30% Down Amortization'!$A92,360,'With Loan'!$D$40,0,0)</f>
        <v>542.48719169133938</v>
      </c>
      <c r="C92" s="4">
        <f>-IPMT('With Loan'!$D$41/12,'30% Down Amortization'!$A92,360,'With Loan'!$D$40,0,0)</f>
        <v>725.06018244157451</v>
      </c>
      <c r="D92" s="4">
        <f t="shared" si="3"/>
        <v>1267.5473741329138</v>
      </c>
      <c r="E92" s="3">
        <f t="shared" si="2"/>
        <v>231476.77118961237</v>
      </c>
    </row>
    <row r="93" spans="1:5" x14ac:dyDescent="0.25">
      <c r="A93">
        <v>90</v>
      </c>
      <c r="B93" s="4">
        <f>-PPMT('With Loan'!$D$41/12,'30% Down Amortization'!$A93,360,'With Loan'!$D$40,0,0)</f>
        <v>544.18246416537477</v>
      </c>
      <c r="C93" s="4">
        <f>-IPMT('With Loan'!$D$41/12,'30% Down Amortization'!$A93,360,'With Loan'!$D$40,0,0)</f>
        <v>723.36490996753889</v>
      </c>
      <c r="D93" s="4">
        <f t="shared" si="3"/>
        <v>1267.5473741329138</v>
      </c>
      <c r="E93" s="3">
        <f t="shared" si="2"/>
        <v>230932.58872544699</v>
      </c>
    </row>
    <row r="94" spans="1:5" x14ac:dyDescent="0.25">
      <c r="A94">
        <v>91</v>
      </c>
      <c r="B94" s="4">
        <f>-PPMT('With Loan'!$D$41/12,'30% Down Amortization'!$A94,360,'With Loan'!$D$40,0,0)</f>
        <v>545.88303436589149</v>
      </c>
      <c r="C94" s="4">
        <f>-IPMT('With Loan'!$D$41/12,'30% Down Amortization'!$A94,360,'With Loan'!$D$40,0,0)</f>
        <v>721.66433976702206</v>
      </c>
      <c r="D94" s="4">
        <f t="shared" si="3"/>
        <v>1267.5473741329135</v>
      </c>
      <c r="E94" s="3">
        <f t="shared" si="2"/>
        <v>230386.70569108109</v>
      </c>
    </row>
    <row r="95" spans="1:5" x14ac:dyDescent="0.25">
      <c r="A95">
        <v>92</v>
      </c>
      <c r="B95" s="4">
        <f>-PPMT('With Loan'!$D$41/12,'30% Down Amortization'!$A95,360,'With Loan'!$D$40,0,0)</f>
        <v>547.58891884828483</v>
      </c>
      <c r="C95" s="4">
        <f>-IPMT('With Loan'!$D$41/12,'30% Down Amortization'!$A95,360,'With Loan'!$D$40,0,0)</f>
        <v>719.95845528462871</v>
      </c>
      <c r="D95" s="4">
        <f t="shared" si="3"/>
        <v>1267.5473741329135</v>
      </c>
      <c r="E95" s="3">
        <f t="shared" si="2"/>
        <v>229839.11677223281</v>
      </c>
    </row>
    <row r="96" spans="1:5" x14ac:dyDescent="0.25">
      <c r="A96">
        <v>93</v>
      </c>
      <c r="B96" s="4">
        <f>-PPMT('With Loan'!$D$41/12,'30% Down Amortization'!$A96,360,'With Loan'!$D$40,0,0)</f>
        <v>549.30013421968579</v>
      </c>
      <c r="C96" s="4">
        <f>-IPMT('With Loan'!$D$41/12,'30% Down Amortization'!$A96,360,'With Loan'!$D$40,0,0)</f>
        <v>718.24723991322776</v>
      </c>
      <c r="D96" s="4">
        <f t="shared" si="3"/>
        <v>1267.5473741329135</v>
      </c>
      <c r="E96" s="3">
        <f t="shared" si="2"/>
        <v>229289.81663801312</v>
      </c>
    </row>
    <row r="97" spans="1:5" x14ac:dyDescent="0.25">
      <c r="A97">
        <v>94</v>
      </c>
      <c r="B97" s="4">
        <f>-PPMT('With Loan'!$D$41/12,'30% Down Amortization'!$A97,360,'With Loan'!$D$40,0,0)</f>
        <v>551.01669713912224</v>
      </c>
      <c r="C97" s="4">
        <f>-IPMT('With Loan'!$D$41/12,'30% Down Amortization'!$A97,360,'With Loan'!$D$40,0,0)</f>
        <v>716.5306769937913</v>
      </c>
      <c r="D97" s="4">
        <f t="shared" si="3"/>
        <v>1267.5473741329135</v>
      </c>
      <c r="E97" s="3">
        <f t="shared" si="2"/>
        <v>228738.79994087399</v>
      </c>
    </row>
    <row r="98" spans="1:5" x14ac:dyDescent="0.25">
      <c r="A98">
        <v>95</v>
      </c>
      <c r="B98" s="4">
        <f>-PPMT('With Loan'!$D$41/12,'30% Down Amortization'!$A98,360,'With Loan'!$D$40,0,0)</f>
        <v>552.73862431768202</v>
      </c>
      <c r="C98" s="4">
        <f>-IPMT('With Loan'!$D$41/12,'30% Down Amortization'!$A98,360,'With Loan'!$D$40,0,0)</f>
        <v>714.80874981523164</v>
      </c>
      <c r="D98" s="4">
        <f t="shared" si="3"/>
        <v>1267.5473741329138</v>
      </c>
      <c r="E98" s="3">
        <f t="shared" ref="E98:E161" si="4">E97-B98</f>
        <v>228186.0613165563</v>
      </c>
    </row>
    <row r="99" spans="1:5" x14ac:dyDescent="0.25">
      <c r="A99">
        <v>96</v>
      </c>
      <c r="B99" s="4">
        <f>-PPMT('With Loan'!$D$41/12,'30% Down Amortization'!$A99,360,'With Loan'!$D$40,0,0)</f>
        <v>554.46593251867489</v>
      </c>
      <c r="C99" s="4">
        <f>-IPMT('With Loan'!$D$41/12,'30% Down Amortization'!$A99,360,'With Loan'!$D$40,0,0)</f>
        <v>713.08144161423877</v>
      </c>
      <c r="D99" s="4">
        <f t="shared" si="3"/>
        <v>1267.5473741329138</v>
      </c>
      <c r="E99" s="3">
        <f t="shared" si="4"/>
        <v>227631.59538403762</v>
      </c>
    </row>
    <row r="100" spans="1:5" x14ac:dyDescent="0.25">
      <c r="A100">
        <v>97</v>
      </c>
      <c r="B100" s="4">
        <f>-PPMT('With Loan'!$D$41/12,'30% Down Amortization'!$A100,360,'With Loan'!$D$40,0,0)</f>
        <v>556.19863855779568</v>
      </c>
      <c r="C100" s="4">
        <f>-IPMT('With Loan'!$D$41/12,'30% Down Amortization'!$A100,360,'With Loan'!$D$40,0,0)</f>
        <v>711.34873557511776</v>
      </c>
      <c r="D100" s="4">
        <f t="shared" si="3"/>
        <v>1267.5473741329133</v>
      </c>
      <c r="E100" s="3">
        <f t="shared" si="4"/>
        <v>227075.39674547981</v>
      </c>
    </row>
    <row r="101" spans="1:5" x14ac:dyDescent="0.25">
      <c r="A101">
        <v>98</v>
      </c>
      <c r="B101" s="4">
        <f>-PPMT('With Loan'!$D$41/12,'30% Down Amortization'!$A101,360,'With Loan'!$D$40,0,0)</f>
        <v>557.9367593032888</v>
      </c>
      <c r="C101" s="4">
        <f>-IPMT('With Loan'!$D$41/12,'30% Down Amortization'!$A101,360,'With Loan'!$D$40,0,0)</f>
        <v>709.61061482962475</v>
      </c>
      <c r="D101" s="4">
        <f t="shared" si="3"/>
        <v>1267.5473741329135</v>
      </c>
      <c r="E101" s="3">
        <f t="shared" si="4"/>
        <v>226517.45998617652</v>
      </c>
    </row>
    <row r="102" spans="1:5" x14ac:dyDescent="0.25">
      <c r="A102">
        <v>99</v>
      </c>
      <c r="B102" s="4">
        <f>-PPMT('With Loan'!$D$41/12,'30% Down Amortization'!$A102,360,'With Loan'!$D$40,0,0)</f>
        <v>559.68031167611161</v>
      </c>
      <c r="C102" s="4">
        <f>-IPMT('With Loan'!$D$41/12,'30% Down Amortization'!$A102,360,'With Loan'!$D$40,0,0)</f>
        <v>707.86706245680205</v>
      </c>
      <c r="D102" s="4">
        <f t="shared" si="3"/>
        <v>1267.5473741329138</v>
      </c>
      <c r="E102" s="3">
        <f t="shared" si="4"/>
        <v>225957.7796745004</v>
      </c>
    </row>
    <row r="103" spans="1:5" x14ac:dyDescent="0.25">
      <c r="A103">
        <v>100</v>
      </c>
      <c r="B103" s="4">
        <f>-PPMT('With Loan'!$D$41/12,'30% Down Amortization'!$A103,360,'With Loan'!$D$40,0,0)</f>
        <v>561.4293126500994</v>
      </c>
      <c r="C103" s="4">
        <f>-IPMT('With Loan'!$D$41/12,'30% Down Amortization'!$A103,360,'With Loan'!$D$40,0,0)</f>
        <v>706.11806148281403</v>
      </c>
      <c r="D103" s="4">
        <f t="shared" si="3"/>
        <v>1267.5473741329133</v>
      </c>
      <c r="E103" s="3">
        <f t="shared" si="4"/>
        <v>225396.35036185032</v>
      </c>
    </row>
    <row r="104" spans="1:5" x14ac:dyDescent="0.25">
      <c r="A104">
        <v>101</v>
      </c>
      <c r="B104" s="4">
        <f>-PPMT('With Loan'!$D$41/12,'30% Down Amortization'!$A104,360,'With Loan'!$D$40,0,0)</f>
        <v>563.18377925213099</v>
      </c>
      <c r="C104" s="4">
        <f>-IPMT('With Loan'!$D$41/12,'30% Down Amortization'!$A104,360,'With Loan'!$D$40,0,0)</f>
        <v>704.36359488078267</v>
      </c>
      <c r="D104" s="4">
        <f t="shared" si="3"/>
        <v>1267.5473741329138</v>
      </c>
      <c r="E104" s="3">
        <f t="shared" si="4"/>
        <v>224833.16658259818</v>
      </c>
    </row>
    <row r="105" spans="1:5" x14ac:dyDescent="0.25">
      <c r="A105">
        <v>102</v>
      </c>
      <c r="B105" s="4">
        <f>-PPMT('With Loan'!$D$41/12,'30% Down Amortization'!$A105,360,'With Loan'!$D$40,0,0)</f>
        <v>564.94372856229393</v>
      </c>
      <c r="C105" s="4">
        <f>-IPMT('With Loan'!$D$41/12,'30% Down Amortization'!$A105,360,'With Loan'!$D$40,0,0)</f>
        <v>702.60364557061973</v>
      </c>
      <c r="D105" s="4">
        <f t="shared" si="3"/>
        <v>1267.5473741329138</v>
      </c>
      <c r="E105" s="3">
        <f t="shared" si="4"/>
        <v>224268.22285403588</v>
      </c>
    </row>
    <row r="106" spans="1:5" x14ac:dyDescent="0.25">
      <c r="A106">
        <v>103</v>
      </c>
      <c r="B106" s="4">
        <f>-PPMT('With Loan'!$D$41/12,'30% Down Amortization'!$A106,360,'With Loan'!$D$40,0,0)</f>
        <v>566.70917771405107</v>
      </c>
      <c r="C106" s="4">
        <f>-IPMT('With Loan'!$D$41/12,'30% Down Amortization'!$A106,360,'With Loan'!$D$40,0,0)</f>
        <v>700.83819641886248</v>
      </c>
      <c r="D106" s="4">
        <f t="shared" si="3"/>
        <v>1267.5473741329135</v>
      </c>
      <c r="E106" s="3">
        <f t="shared" si="4"/>
        <v>223701.51367632183</v>
      </c>
    </row>
    <row r="107" spans="1:5" x14ac:dyDescent="0.25">
      <c r="A107">
        <v>104</v>
      </c>
      <c r="B107" s="4">
        <f>-PPMT('With Loan'!$D$41/12,'30% Down Amortization'!$A107,360,'With Loan'!$D$40,0,0)</f>
        <v>568.48014389440743</v>
      </c>
      <c r="C107" s="4">
        <f>-IPMT('With Loan'!$D$41/12,'30% Down Amortization'!$A107,360,'With Loan'!$D$40,0,0)</f>
        <v>699.06723023850611</v>
      </c>
      <c r="D107" s="4">
        <f t="shared" si="3"/>
        <v>1267.5473741329135</v>
      </c>
      <c r="E107" s="3">
        <f t="shared" si="4"/>
        <v>223133.03353242742</v>
      </c>
    </row>
    <row r="108" spans="1:5" x14ac:dyDescent="0.25">
      <c r="A108">
        <v>105</v>
      </c>
      <c r="B108" s="4">
        <f>-PPMT('With Loan'!$D$41/12,'30% Down Amortization'!$A108,360,'With Loan'!$D$40,0,0)</f>
        <v>570.25664434407747</v>
      </c>
      <c r="C108" s="4">
        <f>-IPMT('With Loan'!$D$41/12,'30% Down Amortization'!$A108,360,'With Loan'!$D$40,0,0)</f>
        <v>697.29072978883607</v>
      </c>
      <c r="D108" s="4">
        <f t="shared" si="3"/>
        <v>1267.5473741329135</v>
      </c>
      <c r="E108" s="3">
        <f t="shared" si="4"/>
        <v>222562.77688808335</v>
      </c>
    </row>
    <row r="109" spans="1:5" x14ac:dyDescent="0.25">
      <c r="A109">
        <v>106</v>
      </c>
      <c r="B109" s="4">
        <f>-PPMT('With Loan'!$D$41/12,'30% Down Amortization'!$A109,360,'With Loan'!$D$40,0,0)</f>
        <v>572.03869635765284</v>
      </c>
      <c r="C109" s="4">
        <f>-IPMT('With Loan'!$D$41/12,'30% Down Amortization'!$A109,360,'With Loan'!$D$40,0,0)</f>
        <v>695.50867777526071</v>
      </c>
      <c r="D109" s="4">
        <f t="shared" si="3"/>
        <v>1267.5473741329135</v>
      </c>
      <c r="E109" s="3">
        <f t="shared" si="4"/>
        <v>221990.73819172569</v>
      </c>
    </row>
    <row r="110" spans="1:5" x14ac:dyDescent="0.25">
      <c r="A110">
        <v>107</v>
      </c>
      <c r="B110" s="4">
        <f>-PPMT('With Loan'!$D$41/12,'30% Down Amortization'!$A110,360,'With Loan'!$D$40,0,0)</f>
        <v>573.82631728377032</v>
      </c>
      <c r="C110" s="4">
        <f>-IPMT('With Loan'!$D$41/12,'30% Down Amortization'!$A110,360,'With Loan'!$D$40,0,0)</f>
        <v>693.72105684914322</v>
      </c>
      <c r="D110" s="4">
        <f t="shared" si="3"/>
        <v>1267.5473741329135</v>
      </c>
      <c r="E110" s="3">
        <f t="shared" si="4"/>
        <v>221416.91187444192</v>
      </c>
    </row>
    <row r="111" spans="1:5" x14ac:dyDescent="0.25">
      <c r="A111">
        <v>108</v>
      </c>
      <c r="B111" s="4">
        <f>-PPMT('With Loan'!$D$41/12,'30% Down Amortization'!$A111,360,'With Loan'!$D$40,0,0)</f>
        <v>575.61952452528215</v>
      </c>
      <c r="C111" s="4">
        <f>-IPMT('With Loan'!$D$41/12,'30% Down Amortization'!$A111,360,'With Loan'!$D$40,0,0)</f>
        <v>691.92784960763152</v>
      </c>
      <c r="D111" s="4">
        <f t="shared" si="3"/>
        <v>1267.5473741329138</v>
      </c>
      <c r="E111" s="3">
        <f t="shared" si="4"/>
        <v>220841.29234991665</v>
      </c>
    </row>
    <row r="112" spans="1:5" x14ac:dyDescent="0.25">
      <c r="A112">
        <v>109</v>
      </c>
      <c r="B112" s="4">
        <f>-PPMT('With Loan'!$D$41/12,'30% Down Amortization'!$A112,360,'With Loan'!$D$40,0,0)</f>
        <v>577.41833553942377</v>
      </c>
      <c r="C112" s="4">
        <f>-IPMT('With Loan'!$D$41/12,'30% Down Amortization'!$A112,360,'With Loan'!$D$40,0,0)</f>
        <v>690.12903859348978</v>
      </c>
      <c r="D112" s="4">
        <f t="shared" si="3"/>
        <v>1267.5473741329135</v>
      </c>
      <c r="E112" s="3">
        <f t="shared" si="4"/>
        <v>220263.87401437722</v>
      </c>
    </row>
    <row r="113" spans="1:5" x14ac:dyDescent="0.25">
      <c r="A113">
        <v>110</v>
      </c>
      <c r="B113" s="4">
        <f>-PPMT('With Loan'!$D$41/12,'30% Down Amortization'!$A113,360,'With Loan'!$D$40,0,0)</f>
        <v>579.22276783798429</v>
      </c>
      <c r="C113" s="4">
        <f>-IPMT('With Loan'!$D$41/12,'30% Down Amortization'!$A113,360,'With Loan'!$D$40,0,0)</f>
        <v>688.32460629492903</v>
      </c>
      <c r="D113" s="4">
        <f t="shared" si="3"/>
        <v>1267.5473741329133</v>
      </c>
      <c r="E113" s="3">
        <f t="shared" si="4"/>
        <v>219684.65124653923</v>
      </c>
    </row>
    <row r="114" spans="1:5" x14ac:dyDescent="0.25">
      <c r="A114">
        <v>111</v>
      </c>
      <c r="B114" s="4">
        <f>-PPMT('With Loan'!$D$41/12,'30% Down Amortization'!$A114,360,'With Loan'!$D$40,0,0)</f>
        <v>581.03283898747804</v>
      </c>
      <c r="C114" s="4">
        <f>-IPMT('With Loan'!$D$41/12,'30% Down Amortization'!$A114,360,'With Loan'!$D$40,0,0)</f>
        <v>686.5145351454355</v>
      </c>
      <c r="D114" s="4">
        <f t="shared" si="3"/>
        <v>1267.5473741329135</v>
      </c>
      <c r="E114" s="3">
        <f t="shared" si="4"/>
        <v>219103.61840755175</v>
      </c>
    </row>
    <row r="115" spans="1:5" x14ac:dyDescent="0.25">
      <c r="A115">
        <v>112</v>
      </c>
      <c r="B115" s="4">
        <f>-PPMT('With Loan'!$D$41/12,'30% Down Amortization'!$A115,360,'With Loan'!$D$40,0,0)</f>
        <v>582.84856660931393</v>
      </c>
      <c r="C115" s="4">
        <f>-IPMT('With Loan'!$D$41/12,'30% Down Amortization'!$A115,360,'With Loan'!$D$40,0,0)</f>
        <v>684.69880752359961</v>
      </c>
      <c r="D115" s="4">
        <f t="shared" si="3"/>
        <v>1267.5473741329135</v>
      </c>
      <c r="E115" s="3">
        <f t="shared" si="4"/>
        <v>218520.76984094243</v>
      </c>
    </row>
    <row r="116" spans="1:5" x14ac:dyDescent="0.25">
      <c r="A116">
        <v>113</v>
      </c>
      <c r="B116" s="4">
        <f>-PPMT('With Loan'!$D$41/12,'30% Down Amortization'!$A116,360,'With Loan'!$D$40,0,0)</f>
        <v>584.66996837996805</v>
      </c>
      <c r="C116" s="4">
        <f>-IPMT('With Loan'!$D$41/12,'30% Down Amortization'!$A116,360,'With Loan'!$D$40,0,0)</f>
        <v>682.87740575294549</v>
      </c>
      <c r="D116" s="4">
        <f t="shared" si="3"/>
        <v>1267.5473741329135</v>
      </c>
      <c r="E116" s="3">
        <f t="shared" si="4"/>
        <v>217936.09987256245</v>
      </c>
    </row>
    <row r="117" spans="1:5" x14ac:dyDescent="0.25">
      <c r="A117">
        <v>114</v>
      </c>
      <c r="B117" s="4">
        <f>-PPMT('With Loan'!$D$41/12,'30% Down Amortization'!$A117,360,'With Loan'!$D$40,0,0)</f>
        <v>586.49706203115545</v>
      </c>
      <c r="C117" s="4">
        <f>-IPMT('With Loan'!$D$41/12,'30% Down Amortization'!$A117,360,'With Loan'!$D$40,0,0)</f>
        <v>681.05031210175821</v>
      </c>
      <c r="D117" s="4">
        <f t="shared" si="3"/>
        <v>1267.5473741329138</v>
      </c>
      <c r="E117" s="3">
        <f t="shared" si="4"/>
        <v>217349.6028105313</v>
      </c>
    </row>
    <row r="118" spans="1:5" x14ac:dyDescent="0.25">
      <c r="A118">
        <v>115</v>
      </c>
      <c r="B118" s="4">
        <f>-PPMT('With Loan'!$D$41/12,'30% Down Amortization'!$A118,360,'With Loan'!$D$40,0,0)</f>
        <v>588.32986535000282</v>
      </c>
      <c r="C118" s="4">
        <f>-IPMT('With Loan'!$D$41/12,'30% Down Amortization'!$A118,360,'With Loan'!$D$40,0,0)</f>
        <v>679.21750878291073</v>
      </c>
      <c r="D118" s="4">
        <f t="shared" si="3"/>
        <v>1267.5473741329135</v>
      </c>
      <c r="E118" s="3">
        <f t="shared" si="4"/>
        <v>216761.27294518129</v>
      </c>
    </row>
    <row r="119" spans="1:5" x14ac:dyDescent="0.25">
      <c r="A119">
        <v>116</v>
      </c>
      <c r="B119" s="4">
        <f>-PPMT('With Loan'!$D$41/12,'30% Down Amortization'!$A119,360,'With Loan'!$D$40,0,0)</f>
        <v>590.16839617922153</v>
      </c>
      <c r="C119" s="4">
        <f>-IPMT('With Loan'!$D$41/12,'30% Down Amortization'!$A119,360,'With Loan'!$D$40,0,0)</f>
        <v>677.3789779536919</v>
      </c>
      <c r="D119" s="4">
        <f t="shared" si="3"/>
        <v>1267.5473741329133</v>
      </c>
      <c r="E119" s="3">
        <f t="shared" si="4"/>
        <v>216171.10454900208</v>
      </c>
    </row>
    <row r="120" spans="1:5" x14ac:dyDescent="0.25">
      <c r="A120">
        <v>117</v>
      </c>
      <c r="B120" s="4">
        <f>-PPMT('With Loan'!$D$41/12,'30% Down Amortization'!$A120,360,'With Loan'!$D$40,0,0)</f>
        <v>592.01267241728169</v>
      </c>
      <c r="C120" s="4">
        <f>-IPMT('With Loan'!$D$41/12,'30% Down Amortization'!$A120,360,'With Loan'!$D$40,0,0)</f>
        <v>675.53470171563185</v>
      </c>
      <c r="D120" s="4">
        <f t="shared" si="3"/>
        <v>1267.5473741329135</v>
      </c>
      <c r="E120" s="3">
        <f t="shared" si="4"/>
        <v>215579.0918765848</v>
      </c>
    </row>
    <row r="121" spans="1:5" x14ac:dyDescent="0.25">
      <c r="A121">
        <v>118</v>
      </c>
      <c r="B121" s="4">
        <f>-PPMT('With Loan'!$D$41/12,'30% Down Amortization'!$A121,360,'With Loan'!$D$40,0,0)</f>
        <v>593.86271201858563</v>
      </c>
      <c r="C121" s="4">
        <f>-IPMT('With Loan'!$D$41/12,'30% Down Amortization'!$A121,360,'With Loan'!$D$40,0,0)</f>
        <v>673.68466211432803</v>
      </c>
      <c r="D121" s="4">
        <f t="shared" si="3"/>
        <v>1267.5473741329138</v>
      </c>
      <c r="E121" s="3">
        <f t="shared" si="4"/>
        <v>214985.2291645662</v>
      </c>
    </row>
    <row r="122" spans="1:5" x14ac:dyDescent="0.25">
      <c r="A122">
        <v>119</v>
      </c>
      <c r="B122" s="4">
        <f>-PPMT('With Loan'!$D$41/12,'30% Down Amortization'!$A122,360,'With Loan'!$D$40,0,0)</f>
        <v>595.71853299364375</v>
      </c>
      <c r="C122" s="4">
        <f>-IPMT('With Loan'!$D$41/12,'30% Down Amortization'!$A122,360,'With Loan'!$D$40,0,0)</f>
        <v>671.82884113926991</v>
      </c>
      <c r="D122" s="4">
        <f t="shared" si="3"/>
        <v>1267.5473741329138</v>
      </c>
      <c r="E122" s="3">
        <f t="shared" si="4"/>
        <v>214389.51063157257</v>
      </c>
    </row>
    <row r="123" spans="1:5" x14ac:dyDescent="0.25">
      <c r="A123">
        <v>120</v>
      </c>
      <c r="B123" s="4">
        <f>-PPMT('With Loan'!$D$41/12,'30% Down Amortization'!$A123,360,'With Loan'!$D$40,0,0)</f>
        <v>597.58015340924885</v>
      </c>
      <c r="C123" s="4">
        <f>-IPMT('With Loan'!$D$41/12,'30% Down Amortization'!$A123,360,'With Loan'!$D$40,0,0)</f>
        <v>669.96722072366481</v>
      </c>
      <c r="D123" s="4">
        <f t="shared" si="3"/>
        <v>1267.5473741329138</v>
      </c>
      <c r="E123" s="3">
        <f t="shared" si="4"/>
        <v>213791.93047816333</v>
      </c>
    </row>
    <row r="124" spans="1:5" x14ac:dyDescent="0.25">
      <c r="A124">
        <v>121</v>
      </c>
      <c r="B124" s="4">
        <f>-PPMT('With Loan'!$D$41/12,'30% Down Amortization'!$A124,360,'With Loan'!$D$40,0,0)</f>
        <v>599.44759138865277</v>
      </c>
      <c r="C124" s="4">
        <f>-IPMT('With Loan'!$D$41/12,'30% Down Amortization'!$A124,360,'With Loan'!$D$40,0,0)</f>
        <v>668.09978274426078</v>
      </c>
      <c r="D124" s="4">
        <f t="shared" si="3"/>
        <v>1267.5473741329135</v>
      </c>
      <c r="E124" s="3">
        <f t="shared" si="4"/>
        <v>213192.48288677467</v>
      </c>
    </row>
    <row r="125" spans="1:5" x14ac:dyDescent="0.25">
      <c r="A125">
        <v>122</v>
      </c>
      <c r="B125" s="4">
        <f>-PPMT('With Loan'!$D$41/12,'30% Down Amortization'!$A125,360,'With Loan'!$D$40,0,0)</f>
        <v>601.32086511174236</v>
      </c>
      <c r="C125" s="4">
        <f>-IPMT('With Loan'!$D$41/12,'30% Down Amortization'!$A125,360,'With Loan'!$D$40,0,0)</f>
        <v>666.2265090211713</v>
      </c>
      <c r="D125" s="4">
        <f t="shared" si="3"/>
        <v>1267.5473741329138</v>
      </c>
      <c r="E125" s="3">
        <f t="shared" si="4"/>
        <v>212591.16202166292</v>
      </c>
    </row>
    <row r="126" spans="1:5" x14ac:dyDescent="0.25">
      <c r="A126">
        <v>123</v>
      </c>
      <c r="B126" s="4">
        <f>-PPMT('With Loan'!$D$41/12,'30% Down Amortization'!$A126,360,'With Loan'!$D$40,0,0)</f>
        <v>603.19999281521655</v>
      </c>
      <c r="C126" s="4">
        <f>-IPMT('With Loan'!$D$41/12,'30% Down Amortization'!$A126,360,'With Loan'!$D$40,0,0)</f>
        <v>664.347381317697</v>
      </c>
      <c r="D126" s="4">
        <f t="shared" si="3"/>
        <v>1267.5473741329135</v>
      </c>
      <c r="E126" s="3">
        <f t="shared" si="4"/>
        <v>211987.96202884772</v>
      </c>
    </row>
    <row r="127" spans="1:5" x14ac:dyDescent="0.25">
      <c r="A127">
        <v>124</v>
      </c>
      <c r="B127" s="4">
        <f>-PPMT('With Loan'!$D$41/12,'30% Down Amortization'!$A127,360,'With Loan'!$D$40,0,0)</f>
        <v>605.08499279276396</v>
      </c>
      <c r="C127" s="4">
        <f>-IPMT('With Loan'!$D$41/12,'30% Down Amortization'!$A127,360,'With Loan'!$D$40,0,0)</f>
        <v>662.46238134014959</v>
      </c>
      <c r="D127" s="4">
        <f t="shared" si="3"/>
        <v>1267.5473741329135</v>
      </c>
      <c r="E127" s="3">
        <f t="shared" si="4"/>
        <v>211382.87703605494</v>
      </c>
    </row>
    <row r="128" spans="1:5" x14ac:dyDescent="0.25">
      <c r="A128">
        <v>125</v>
      </c>
      <c r="B128" s="4">
        <f>-PPMT('With Loan'!$D$41/12,'30% Down Amortization'!$A128,360,'With Loan'!$D$40,0,0)</f>
        <v>606.97588339524145</v>
      </c>
      <c r="C128" s="4">
        <f>-IPMT('With Loan'!$D$41/12,'30% Down Amortization'!$A128,360,'With Loan'!$D$40,0,0)</f>
        <v>660.57149073767209</v>
      </c>
      <c r="D128" s="4">
        <f t="shared" si="3"/>
        <v>1267.5473741329135</v>
      </c>
      <c r="E128" s="3">
        <f t="shared" si="4"/>
        <v>210775.9011526597</v>
      </c>
    </row>
    <row r="129" spans="1:5" x14ac:dyDescent="0.25">
      <c r="A129">
        <v>126</v>
      </c>
      <c r="B129" s="4">
        <f>-PPMT('With Loan'!$D$41/12,'30% Down Amortization'!$A129,360,'With Loan'!$D$40,0,0)</f>
        <v>608.87268303085159</v>
      </c>
      <c r="C129" s="4">
        <f>-IPMT('With Loan'!$D$41/12,'30% Down Amortization'!$A129,360,'With Loan'!$D$40,0,0)</f>
        <v>658.67469110206196</v>
      </c>
      <c r="D129" s="4">
        <f t="shared" si="3"/>
        <v>1267.5473741329135</v>
      </c>
      <c r="E129" s="3">
        <f t="shared" si="4"/>
        <v>210167.02846962886</v>
      </c>
    </row>
    <row r="130" spans="1:5" x14ac:dyDescent="0.25">
      <c r="A130">
        <v>127</v>
      </c>
      <c r="B130" s="4">
        <f>-PPMT('With Loan'!$D$41/12,'30% Down Amortization'!$A130,360,'With Loan'!$D$40,0,0)</f>
        <v>610.77541016532302</v>
      </c>
      <c r="C130" s="4">
        <f>-IPMT('With Loan'!$D$41/12,'30% Down Amortization'!$A130,360,'With Loan'!$D$40,0,0)</f>
        <v>656.77196396759064</v>
      </c>
      <c r="D130" s="4">
        <f t="shared" si="3"/>
        <v>1267.5473741329138</v>
      </c>
      <c r="E130" s="3">
        <f t="shared" si="4"/>
        <v>209556.25305946355</v>
      </c>
    </row>
    <row r="131" spans="1:5" x14ac:dyDescent="0.25">
      <c r="A131">
        <v>128</v>
      </c>
      <c r="B131" s="4">
        <f>-PPMT('With Loan'!$D$41/12,'30% Down Amortization'!$A131,360,'With Loan'!$D$40,0,0)</f>
        <v>612.68408332208958</v>
      </c>
      <c r="C131" s="4">
        <f>-IPMT('With Loan'!$D$41/12,'30% Down Amortization'!$A131,360,'With Loan'!$D$40,0,0)</f>
        <v>654.86329081082397</v>
      </c>
      <c r="D131" s="4">
        <f t="shared" si="3"/>
        <v>1267.5473741329135</v>
      </c>
      <c r="E131" s="3">
        <f t="shared" si="4"/>
        <v>208943.56897614145</v>
      </c>
    </row>
    <row r="132" spans="1:5" x14ac:dyDescent="0.25">
      <c r="A132">
        <v>129</v>
      </c>
      <c r="B132" s="4">
        <f>-PPMT('With Loan'!$D$41/12,'30% Down Amortization'!$A132,360,'With Loan'!$D$40,0,0)</f>
        <v>614.59872108247112</v>
      </c>
      <c r="C132" s="4">
        <f>-IPMT('With Loan'!$D$41/12,'30% Down Amortization'!$A132,360,'With Loan'!$D$40,0,0)</f>
        <v>652.94865305044254</v>
      </c>
      <c r="D132" s="4">
        <f t="shared" si="3"/>
        <v>1267.5473741329138</v>
      </c>
      <c r="E132" s="3">
        <f t="shared" si="4"/>
        <v>208328.97025505899</v>
      </c>
    </row>
    <row r="133" spans="1:5" x14ac:dyDescent="0.25">
      <c r="A133">
        <v>130</v>
      </c>
      <c r="B133" s="4">
        <f>-PPMT('With Loan'!$D$41/12,'30% Down Amortization'!$A133,360,'With Loan'!$D$40,0,0)</f>
        <v>616.51934208585385</v>
      </c>
      <c r="C133" s="4">
        <f>-IPMT('With Loan'!$D$41/12,'30% Down Amortization'!$A133,360,'With Loan'!$D$40,0,0)</f>
        <v>651.0280320470597</v>
      </c>
      <c r="D133" s="4">
        <f t="shared" ref="D133:D196" si="5">B133+C133</f>
        <v>1267.5473741329135</v>
      </c>
      <c r="E133" s="3">
        <f t="shared" si="4"/>
        <v>207712.45091297315</v>
      </c>
    </row>
    <row r="134" spans="1:5" x14ac:dyDescent="0.25">
      <c r="A134">
        <v>131</v>
      </c>
      <c r="B134" s="4">
        <f>-PPMT('With Loan'!$D$41/12,'30% Down Amortization'!$A134,360,'With Loan'!$D$40,0,0)</f>
        <v>618.44596502987224</v>
      </c>
      <c r="C134" s="4">
        <f>-IPMT('With Loan'!$D$41/12,'30% Down Amortization'!$A134,360,'With Loan'!$D$40,0,0)</f>
        <v>649.10140910304153</v>
      </c>
      <c r="D134" s="4">
        <f t="shared" si="5"/>
        <v>1267.5473741329138</v>
      </c>
      <c r="E134" s="3">
        <f t="shared" si="4"/>
        <v>207094.00494794326</v>
      </c>
    </row>
    <row r="135" spans="1:5" x14ac:dyDescent="0.25">
      <c r="A135">
        <v>132</v>
      </c>
      <c r="B135" s="4">
        <f>-PPMT('With Loan'!$D$41/12,'30% Down Amortization'!$A135,360,'With Loan'!$D$40,0,0)</f>
        <v>620.37860867059055</v>
      </c>
      <c r="C135" s="4">
        <f>-IPMT('With Loan'!$D$41/12,'30% Down Amortization'!$A135,360,'With Loan'!$D$40,0,0)</f>
        <v>647.16876546232299</v>
      </c>
      <c r="D135" s="4">
        <f t="shared" si="5"/>
        <v>1267.5473741329135</v>
      </c>
      <c r="E135" s="3">
        <f t="shared" si="4"/>
        <v>206473.62633927268</v>
      </c>
    </row>
    <row r="136" spans="1:5" x14ac:dyDescent="0.25">
      <c r="A136">
        <v>133</v>
      </c>
      <c r="B136" s="4">
        <f>-PPMT('With Loan'!$D$41/12,'30% Down Amortization'!$A136,360,'With Loan'!$D$40,0,0)</f>
        <v>622.31729182268612</v>
      </c>
      <c r="C136" s="4">
        <f>-IPMT('With Loan'!$D$41/12,'30% Down Amortization'!$A136,360,'With Loan'!$D$40,0,0)</f>
        <v>645.23008231022754</v>
      </c>
      <c r="D136" s="4">
        <f t="shared" si="5"/>
        <v>1267.5473741329138</v>
      </c>
      <c r="E136" s="3">
        <f t="shared" si="4"/>
        <v>205851.30904744999</v>
      </c>
    </row>
    <row r="137" spans="1:5" x14ac:dyDescent="0.25">
      <c r="A137">
        <v>134</v>
      </c>
      <c r="B137" s="4">
        <f>-PPMT('With Loan'!$D$41/12,'30% Down Amortization'!$A137,360,'With Loan'!$D$40,0,0)</f>
        <v>624.26203335963191</v>
      </c>
      <c r="C137" s="4">
        <f>-IPMT('With Loan'!$D$41/12,'30% Down Amortization'!$A137,360,'With Loan'!$D$40,0,0)</f>
        <v>643.28534077328152</v>
      </c>
      <c r="D137" s="4">
        <f t="shared" si="5"/>
        <v>1267.5473741329133</v>
      </c>
      <c r="E137" s="3">
        <f t="shared" si="4"/>
        <v>205227.04701409035</v>
      </c>
    </row>
    <row r="138" spans="1:5" x14ac:dyDescent="0.25">
      <c r="A138">
        <v>135</v>
      </c>
      <c r="B138" s="4">
        <f>-PPMT('With Loan'!$D$41/12,'30% Down Amortization'!$A138,360,'With Loan'!$D$40,0,0)</f>
        <v>626.21285221388098</v>
      </c>
      <c r="C138" s="4">
        <f>-IPMT('With Loan'!$D$41/12,'30% Down Amortization'!$A138,360,'With Loan'!$D$40,0,0)</f>
        <v>641.33452191903268</v>
      </c>
      <c r="D138" s="4">
        <f t="shared" si="5"/>
        <v>1267.5473741329138</v>
      </c>
      <c r="E138" s="3">
        <f t="shared" si="4"/>
        <v>204600.83416187647</v>
      </c>
    </row>
    <row r="139" spans="1:5" x14ac:dyDescent="0.25">
      <c r="A139">
        <v>136</v>
      </c>
      <c r="B139" s="4">
        <f>-PPMT('With Loan'!$D$41/12,'30% Down Amortization'!$A139,360,'With Loan'!$D$40,0,0)</f>
        <v>628.1697673770492</v>
      </c>
      <c r="C139" s="4">
        <f>-IPMT('With Loan'!$D$41/12,'30% Down Amortization'!$A139,360,'With Loan'!$D$40,0,0)</f>
        <v>639.37760675586446</v>
      </c>
      <c r="D139" s="4">
        <f t="shared" si="5"/>
        <v>1267.5473741329138</v>
      </c>
      <c r="E139" s="3">
        <f t="shared" si="4"/>
        <v>203972.66439449941</v>
      </c>
    </row>
    <row r="140" spans="1:5" x14ac:dyDescent="0.25">
      <c r="A140">
        <v>137</v>
      </c>
      <c r="B140" s="4">
        <f>-PPMT('With Loan'!$D$41/12,'30% Down Amortization'!$A140,360,'With Loan'!$D$40,0,0)</f>
        <v>630.13279790010256</v>
      </c>
      <c r="C140" s="4">
        <f>-IPMT('With Loan'!$D$41/12,'30% Down Amortization'!$A140,360,'With Loan'!$D$40,0,0)</f>
        <v>637.41457623281121</v>
      </c>
      <c r="D140" s="4">
        <f t="shared" si="5"/>
        <v>1267.5473741329138</v>
      </c>
      <c r="E140" s="3">
        <f t="shared" si="4"/>
        <v>203342.53159659932</v>
      </c>
    </row>
    <row r="141" spans="1:5" x14ac:dyDescent="0.25">
      <c r="A141">
        <v>138</v>
      </c>
      <c r="B141" s="4">
        <f>-PPMT('With Loan'!$D$41/12,'30% Down Amortization'!$A141,360,'With Loan'!$D$40,0,0)</f>
        <v>632.10196289354042</v>
      </c>
      <c r="C141" s="4">
        <f>-IPMT('With Loan'!$D$41/12,'30% Down Amortization'!$A141,360,'With Loan'!$D$40,0,0)</f>
        <v>635.44541123937324</v>
      </c>
      <c r="D141" s="4">
        <f t="shared" si="5"/>
        <v>1267.5473741329138</v>
      </c>
      <c r="E141" s="3">
        <f t="shared" si="4"/>
        <v>202710.42963370579</v>
      </c>
    </row>
    <row r="142" spans="1:5" x14ac:dyDescent="0.25">
      <c r="A142">
        <v>139</v>
      </c>
      <c r="B142" s="4">
        <f>-PPMT('With Loan'!$D$41/12,'30% Down Amortization'!$A142,360,'With Loan'!$D$40,0,0)</f>
        <v>634.07728152758261</v>
      </c>
      <c r="C142" s="4">
        <f>-IPMT('With Loan'!$D$41/12,'30% Down Amortization'!$A142,360,'With Loan'!$D$40,0,0)</f>
        <v>633.47009260533105</v>
      </c>
      <c r="D142" s="4">
        <f t="shared" si="5"/>
        <v>1267.5473741329138</v>
      </c>
      <c r="E142" s="3">
        <f t="shared" si="4"/>
        <v>202076.35235217822</v>
      </c>
    </row>
    <row r="143" spans="1:5" x14ac:dyDescent="0.25">
      <c r="A143">
        <v>140</v>
      </c>
      <c r="B143" s="4">
        <f>-PPMT('With Loan'!$D$41/12,'30% Down Amortization'!$A143,360,'With Loan'!$D$40,0,0)</f>
        <v>636.05877303235638</v>
      </c>
      <c r="C143" s="4">
        <f>-IPMT('With Loan'!$D$41/12,'30% Down Amortization'!$A143,360,'With Loan'!$D$40,0,0)</f>
        <v>631.48860110055728</v>
      </c>
      <c r="D143" s="4">
        <f t="shared" si="5"/>
        <v>1267.5473741329138</v>
      </c>
      <c r="E143" s="3">
        <f t="shared" si="4"/>
        <v>201440.29357914586</v>
      </c>
    </row>
    <row r="144" spans="1:5" x14ac:dyDescent="0.25">
      <c r="A144">
        <v>141</v>
      </c>
      <c r="B144" s="4">
        <f>-PPMT('With Loan'!$D$41/12,'30% Down Amortization'!$A144,360,'With Loan'!$D$40,0,0)</f>
        <v>638.04645669808235</v>
      </c>
      <c r="C144" s="4">
        <f>-IPMT('With Loan'!$D$41/12,'30% Down Amortization'!$A144,360,'With Loan'!$D$40,0,0)</f>
        <v>629.50091743483108</v>
      </c>
      <c r="D144" s="4">
        <f t="shared" si="5"/>
        <v>1267.5473741329133</v>
      </c>
      <c r="E144" s="3">
        <f t="shared" si="4"/>
        <v>200802.24712244776</v>
      </c>
    </row>
    <row r="145" spans="1:5" x14ac:dyDescent="0.25">
      <c r="A145">
        <v>142</v>
      </c>
      <c r="B145" s="4">
        <f>-PPMT('With Loan'!$D$41/12,'30% Down Amortization'!$A145,360,'With Loan'!$D$40,0,0)</f>
        <v>640.04035187526404</v>
      </c>
      <c r="C145" s="4">
        <f>-IPMT('With Loan'!$D$41/12,'30% Down Amortization'!$A145,360,'With Loan'!$D$40,0,0)</f>
        <v>627.50702225764962</v>
      </c>
      <c r="D145" s="4">
        <f t="shared" si="5"/>
        <v>1267.5473741329138</v>
      </c>
      <c r="E145" s="3">
        <f t="shared" si="4"/>
        <v>200162.20677057249</v>
      </c>
    </row>
    <row r="146" spans="1:5" x14ac:dyDescent="0.25">
      <c r="A146">
        <v>143</v>
      </c>
      <c r="B146" s="4">
        <f>-PPMT('With Loan'!$D$41/12,'30% Down Amortization'!$A146,360,'With Loan'!$D$40,0,0)</f>
        <v>642.04047797487419</v>
      </c>
      <c r="C146" s="4">
        <f>-IPMT('With Loan'!$D$41/12,'30% Down Amortization'!$A146,360,'With Loan'!$D$40,0,0)</f>
        <v>625.50689615803935</v>
      </c>
      <c r="D146" s="4">
        <f t="shared" si="5"/>
        <v>1267.5473741329135</v>
      </c>
      <c r="E146" s="3">
        <f t="shared" si="4"/>
        <v>199520.16629259763</v>
      </c>
    </row>
    <row r="147" spans="1:5" x14ac:dyDescent="0.25">
      <c r="A147">
        <v>144</v>
      </c>
      <c r="B147" s="4">
        <f>-PPMT('With Loan'!$D$41/12,'30% Down Amortization'!$A147,360,'With Loan'!$D$40,0,0)</f>
        <v>644.04685446854569</v>
      </c>
      <c r="C147" s="4">
        <f>-IPMT('With Loan'!$D$41/12,'30% Down Amortization'!$A147,360,'With Loan'!$D$40,0,0)</f>
        <v>623.50051966436797</v>
      </c>
      <c r="D147" s="4">
        <f t="shared" si="5"/>
        <v>1267.5473741329138</v>
      </c>
      <c r="E147" s="3">
        <f t="shared" si="4"/>
        <v>198876.11943812907</v>
      </c>
    </row>
    <row r="148" spans="1:5" x14ac:dyDescent="0.25">
      <c r="A148">
        <v>145</v>
      </c>
      <c r="B148" s="4">
        <f>-PPMT('With Loan'!$D$41/12,'30% Down Amortization'!$A148,360,'With Loan'!$D$40,0,0)</f>
        <v>646.05950088875989</v>
      </c>
      <c r="C148" s="4">
        <f>-IPMT('With Loan'!$D$41/12,'30% Down Amortization'!$A148,360,'With Loan'!$D$40,0,0)</f>
        <v>621.48787324415377</v>
      </c>
      <c r="D148" s="4">
        <f t="shared" si="5"/>
        <v>1267.5473741329138</v>
      </c>
      <c r="E148" s="3">
        <f t="shared" si="4"/>
        <v>198230.05993724032</v>
      </c>
    </row>
    <row r="149" spans="1:5" x14ac:dyDescent="0.25">
      <c r="A149">
        <v>146</v>
      </c>
      <c r="B149" s="4">
        <f>-PPMT('With Loan'!$D$41/12,'30% Down Amortization'!$A149,360,'With Loan'!$D$40,0,0)</f>
        <v>648.07843682903729</v>
      </c>
      <c r="C149" s="4">
        <f>-IPMT('With Loan'!$D$41/12,'30% Down Amortization'!$A149,360,'With Loan'!$D$40,0,0)</f>
        <v>619.46893730387637</v>
      </c>
      <c r="D149" s="4">
        <f t="shared" si="5"/>
        <v>1267.5473741329138</v>
      </c>
      <c r="E149" s="3">
        <f t="shared" si="4"/>
        <v>197581.98150041129</v>
      </c>
    </row>
    <row r="150" spans="1:5" x14ac:dyDescent="0.25">
      <c r="A150">
        <v>147</v>
      </c>
      <c r="B150" s="4">
        <f>-PPMT('With Loan'!$D$41/12,'30% Down Amortization'!$A150,360,'With Loan'!$D$40,0,0)</f>
        <v>650.10368194412797</v>
      </c>
      <c r="C150" s="4">
        <f>-IPMT('With Loan'!$D$41/12,'30% Down Amortization'!$A150,360,'With Loan'!$D$40,0,0)</f>
        <v>617.44369218878569</v>
      </c>
      <c r="D150" s="4">
        <f t="shared" si="5"/>
        <v>1267.5473741329138</v>
      </c>
      <c r="E150" s="3">
        <f t="shared" si="4"/>
        <v>196931.87781846715</v>
      </c>
    </row>
    <row r="151" spans="1:5" x14ac:dyDescent="0.25">
      <c r="A151">
        <v>148</v>
      </c>
      <c r="B151" s="4">
        <f>-PPMT('With Loan'!$D$41/12,'30% Down Amortization'!$A151,360,'With Loan'!$D$40,0,0)</f>
        <v>652.13525595020337</v>
      </c>
      <c r="C151" s="4">
        <f>-IPMT('With Loan'!$D$41/12,'30% Down Amortization'!$A151,360,'With Loan'!$D$40,0,0)</f>
        <v>615.41211818271029</v>
      </c>
      <c r="D151" s="4">
        <f t="shared" si="5"/>
        <v>1267.5473741329138</v>
      </c>
      <c r="E151" s="3">
        <f t="shared" si="4"/>
        <v>196279.74256251694</v>
      </c>
    </row>
    <row r="152" spans="1:5" x14ac:dyDescent="0.25">
      <c r="A152">
        <v>149</v>
      </c>
      <c r="B152" s="4">
        <f>-PPMT('With Loan'!$D$41/12,'30% Down Amortization'!$A152,360,'With Loan'!$D$40,0,0)</f>
        <v>654.17317862504785</v>
      </c>
      <c r="C152" s="4">
        <f>-IPMT('With Loan'!$D$41/12,'30% Down Amortization'!$A152,360,'With Loan'!$D$40,0,0)</f>
        <v>613.37419550786581</v>
      </c>
      <c r="D152" s="4">
        <f t="shared" si="5"/>
        <v>1267.5473741329138</v>
      </c>
      <c r="E152" s="3">
        <f t="shared" si="4"/>
        <v>195625.56938389188</v>
      </c>
    </row>
    <row r="153" spans="1:5" x14ac:dyDescent="0.25">
      <c r="A153">
        <v>150</v>
      </c>
      <c r="B153" s="4">
        <f>-PPMT('With Loan'!$D$41/12,'30% Down Amortization'!$A153,360,'With Loan'!$D$40,0,0)</f>
        <v>656.21746980825105</v>
      </c>
      <c r="C153" s="4">
        <f>-IPMT('With Loan'!$D$41/12,'30% Down Amortization'!$A153,360,'With Loan'!$D$40,0,0)</f>
        <v>611.32990432466261</v>
      </c>
      <c r="D153" s="4">
        <f t="shared" si="5"/>
        <v>1267.5473741329138</v>
      </c>
      <c r="E153" s="3">
        <f t="shared" si="4"/>
        <v>194969.35191408364</v>
      </c>
    </row>
    <row r="154" spans="1:5" x14ac:dyDescent="0.25">
      <c r="A154">
        <v>151</v>
      </c>
      <c r="B154" s="4">
        <f>-PPMT('With Loan'!$D$41/12,'30% Down Amortization'!$A154,360,'With Loan'!$D$40,0,0)</f>
        <v>658.26814940140184</v>
      </c>
      <c r="C154" s="4">
        <f>-IPMT('With Loan'!$D$41/12,'30% Down Amortization'!$A154,360,'With Loan'!$D$40,0,0)</f>
        <v>609.27922473151182</v>
      </c>
      <c r="D154" s="4">
        <f t="shared" si="5"/>
        <v>1267.5473741329138</v>
      </c>
      <c r="E154" s="3">
        <f t="shared" si="4"/>
        <v>194311.08376468223</v>
      </c>
    </row>
    <row r="155" spans="1:5" x14ac:dyDescent="0.25">
      <c r="A155">
        <v>152</v>
      </c>
      <c r="B155" s="4">
        <f>-PPMT('With Loan'!$D$41/12,'30% Down Amortization'!$A155,360,'With Loan'!$D$40,0,0)</f>
        <v>660.32523736828125</v>
      </c>
      <c r="C155" s="4">
        <f>-IPMT('With Loan'!$D$41/12,'30% Down Amortization'!$A155,360,'With Loan'!$D$40,0,0)</f>
        <v>607.22213676463241</v>
      </c>
      <c r="D155" s="4">
        <f t="shared" si="5"/>
        <v>1267.5473741329138</v>
      </c>
      <c r="E155" s="3">
        <f t="shared" si="4"/>
        <v>193650.75852731394</v>
      </c>
    </row>
    <row r="156" spans="1:5" x14ac:dyDescent="0.25">
      <c r="A156">
        <v>153</v>
      </c>
      <c r="B156" s="4">
        <f>-PPMT('With Loan'!$D$41/12,'30% Down Amortization'!$A156,360,'With Loan'!$D$40,0,0)</f>
        <v>662.38875373505709</v>
      </c>
      <c r="C156" s="4">
        <f>-IPMT('With Loan'!$D$41/12,'30% Down Amortization'!$A156,360,'With Loan'!$D$40,0,0)</f>
        <v>605.15862039785645</v>
      </c>
      <c r="D156" s="4">
        <f t="shared" si="5"/>
        <v>1267.5473741329135</v>
      </c>
      <c r="E156" s="3">
        <f t="shared" si="4"/>
        <v>192988.36977357889</v>
      </c>
    </row>
    <row r="157" spans="1:5" x14ac:dyDescent="0.25">
      <c r="A157">
        <v>154</v>
      </c>
      <c r="B157" s="4">
        <f>-PPMT('With Loan'!$D$41/12,'30% Down Amortization'!$A157,360,'With Loan'!$D$40,0,0)</f>
        <v>664.45871859047907</v>
      </c>
      <c r="C157" s="4">
        <f>-IPMT('With Loan'!$D$41/12,'30% Down Amortization'!$A157,360,'With Loan'!$D$40,0,0)</f>
        <v>603.08865554243437</v>
      </c>
      <c r="D157" s="4">
        <f t="shared" si="5"/>
        <v>1267.5473741329133</v>
      </c>
      <c r="E157" s="3">
        <f t="shared" si="4"/>
        <v>192323.91105498842</v>
      </c>
    </row>
    <row r="158" spans="1:5" x14ac:dyDescent="0.25">
      <c r="A158">
        <v>155</v>
      </c>
      <c r="B158" s="4">
        <f>-PPMT('With Loan'!$D$41/12,'30% Down Amortization'!$A158,360,'With Loan'!$D$40,0,0)</f>
        <v>666.53515208607439</v>
      </c>
      <c r="C158" s="4">
        <f>-IPMT('With Loan'!$D$41/12,'30% Down Amortization'!$A158,360,'With Loan'!$D$40,0,0)</f>
        <v>601.01222204683916</v>
      </c>
      <c r="D158" s="4">
        <f t="shared" si="5"/>
        <v>1267.5473741329135</v>
      </c>
      <c r="E158" s="3">
        <f t="shared" si="4"/>
        <v>191657.37590290233</v>
      </c>
    </row>
    <row r="159" spans="1:5" x14ac:dyDescent="0.25">
      <c r="A159">
        <v>156</v>
      </c>
      <c r="B159" s="4">
        <f>-PPMT('With Loan'!$D$41/12,'30% Down Amortization'!$A159,360,'With Loan'!$D$40,0,0)</f>
        <v>668.61807443634325</v>
      </c>
      <c r="C159" s="4">
        <f>-IPMT('With Loan'!$D$41/12,'30% Down Amortization'!$A159,360,'With Loan'!$D$40,0,0)</f>
        <v>598.92929969657018</v>
      </c>
      <c r="D159" s="4">
        <f t="shared" si="5"/>
        <v>1267.5473741329133</v>
      </c>
      <c r="E159" s="3">
        <f t="shared" si="4"/>
        <v>190988.75782846598</v>
      </c>
    </row>
    <row r="160" spans="1:5" x14ac:dyDescent="0.25">
      <c r="A160">
        <v>157</v>
      </c>
      <c r="B160" s="4">
        <f>-PPMT('With Loan'!$D$41/12,'30% Down Amortization'!$A160,360,'With Loan'!$D$40,0,0)</f>
        <v>670.70750591895694</v>
      </c>
      <c r="C160" s="4">
        <f>-IPMT('With Loan'!$D$41/12,'30% Down Amortization'!$A160,360,'With Loan'!$D$40,0,0)</f>
        <v>596.83986821395672</v>
      </c>
      <c r="D160" s="4">
        <f t="shared" si="5"/>
        <v>1267.5473741329138</v>
      </c>
      <c r="E160" s="3">
        <f t="shared" si="4"/>
        <v>190318.05032254703</v>
      </c>
    </row>
    <row r="161" spans="1:5" x14ac:dyDescent="0.25">
      <c r="A161">
        <v>158</v>
      </c>
      <c r="B161" s="4">
        <f>-PPMT('With Loan'!$D$41/12,'30% Down Amortization'!$A161,360,'With Loan'!$D$40,0,0)</f>
        <v>672.80346687495376</v>
      </c>
      <c r="C161" s="4">
        <f>-IPMT('With Loan'!$D$41/12,'30% Down Amortization'!$A161,360,'With Loan'!$D$40,0,0)</f>
        <v>594.74390725796002</v>
      </c>
      <c r="D161" s="4">
        <f t="shared" si="5"/>
        <v>1267.5473741329138</v>
      </c>
      <c r="E161" s="3">
        <f t="shared" si="4"/>
        <v>189645.24685567207</v>
      </c>
    </row>
    <row r="162" spans="1:5" x14ac:dyDescent="0.25">
      <c r="A162">
        <v>159</v>
      </c>
      <c r="B162" s="4">
        <f>-PPMT('With Loan'!$D$41/12,'30% Down Amortization'!$A162,360,'With Loan'!$D$40,0,0)</f>
        <v>674.90597770893783</v>
      </c>
      <c r="C162" s="4">
        <f>-IPMT('With Loan'!$D$41/12,'30% Down Amortization'!$A162,360,'With Loan'!$D$40,0,0)</f>
        <v>592.64139642397583</v>
      </c>
      <c r="D162" s="4">
        <f t="shared" si="5"/>
        <v>1267.5473741329138</v>
      </c>
      <c r="E162" s="3">
        <f t="shared" ref="E162:E225" si="6">E161-B162</f>
        <v>188970.34087796314</v>
      </c>
    </row>
    <row r="163" spans="1:5" x14ac:dyDescent="0.25">
      <c r="A163">
        <v>160</v>
      </c>
      <c r="B163" s="4">
        <f>-PPMT('With Loan'!$D$41/12,'30% Down Amortization'!$A163,360,'With Loan'!$D$40,0,0)</f>
        <v>677.01505888927841</v>
      </c>
      <c r="C163" s="4">
        <f>-IPMT('With Loan'!$D$41/12,'30% Down Amortization'!$A163,360,'With Loan'!$D$40,0,0)</f>
        <v>590.53231524363537</v>
      </c>
      <c r="D163" s="4">
        <f t="shared" si="5"/>
        <v>1267.5473741329138</v>
      </c>
      <c r="E163" s="3">
        <f t="shared" si="6"/>
        <v>188293.32581907386</v>
      </c>
    </row>
    <row r="164" spans="1:5" x14ac:dyDescent="0.25">
      <c r="A164">
        <v>161</v>
      </c>
      <c r="B164" s="4">
        <f>-PPMT('With Loan'!$D$41/12,'30% Down Amortization'!$A164,360,'With Loan'!$D$40,0,0)</f>
        <v>679.13073094830725</v>
      </c>
      <c r="C164" s="4">
        <f>-IPMT('With Loan'!$D$41/12,'30% Down Amortization'!$A164,360,'With Loan'!$D$40,0,0)</f>
        <v>588.4166431846063</v>
      </c>
      <c r="D164" s="4">
        <f t="shared" si="5"/>
        <v>1267.5473741329135</v>
      </c>
      <c r="E164" s="3">
        <f t="shared" si="6"/>
        <v>187614.19508812556</v>
      </c>
    </row>
    <row r="165" spans="1:5" x14ac:dyDescent="0.25">
      <c r="A165">
        <v>162</v>
      </c>
      <c r="B165" s="4">
        <f>-PPMT('With Loan'!$D$41/12,'30% Down Amortization'!$A165,360,'With Loan'!$D$40,0,0)</f>
        <v>681.25301448252071</v>
      </c>
      <c r="C165" s="4">
        <f>-IPMT('With Loan'!$D$41/12,'30% Down Amortization'!$A165,360,'With Loan'!$D$40,0,0)</f>
        <v>586.29435965039283</v>
      </c>
      <c r="D165" s="4">
        <f t="shared" si="5"/>
        <v>1267.5473741329135</v>
      </c>
      <c r="E165" s="3">
        <f t="shared" si="6"/>
        <v>186932.94207364303</v>
      </c>
    </row>
    <row r="166" spans="1:5" x14ac:dyDescent="0.25">
      <c r="A166">
        <v>163</v>
      </c>
      <c r="B166" s="4">
        <f>-PPMT('With Loan'!$D$41/12,'30% Down Amortization'!$A166,360,'With Loan'!$D$40,0,0)</f>
        <v>683.38193015277864</v>
      </c>
      <c r="C166" s="4">
        <f>-IPMT('With Loan'!$D$41/12,'30% Down Amortization'!$A166,360,'With Loan'!$D$40,0,0)</f>
        <v>584.16544398013502</v>
      </c>
      <c r="D166" s="4">
        <f t="shared" si="5"/>
        <v>1267.5473741329138</v>
      </c>
      <c r="E166" s="3">
        <f t="shared" si="6"/>
        <v>186249.56014349026</v>
      </c>
    </row>
    <row r="167" spans="1:5" x14ac:dyDescent="0.25">
      <c r="A167">
        <v>164</v>
      </c>
      <c r="B167" s="4">
        <f>-PPMT('With Loan'!$D$41/12,'30% Down Amortization'!$A167,360,'With Loan'!$D$40,0,0)</f>
        <v>685.51749868450611</v>
      </c>
      <c r="C167" s="4">
        <f>-IPMT('With Loan'!$D$41/12,'30% Down Amortization'!$A167,360,'With Loan'!$D$40,0,0)</f>
        <v>582.02987544840744</v>
      </c>
      <c r="D167" s="4">
        <f t="shared" si="5"/>
        <v>1267.5473741329135</v>
      </c>
      <c r="E167" s="3">
        <f t="shared" si="6"/>
        <v>185564.04264480577</v>
      </c>
    </row>
    <row r="168" spans="1:5" x14ac:dyDescent="0.25">
      <c r="A168">
        <v>165</v>
      </c>
      <c r="B168" s="4">
        <f>-PPMT('With Loan'!$D$41/12,'30% Down Amortization'!$A168,360,'With Loan'!$D$40,0,0)</f>
        <v>687.65974086789515</v>
      </c>
      <c r="C168" s="4">
        <f>-IPMT('With Loan'!$D$41/12,'30% Down Amortization'!$A168,360,'With Loan'!$D$40,0,0)</f>
        <v>579.88763326501851</v>
      </c>
      <c r="D168" s="4">
        <f t="shared" si="5"/>
        <v>1267.5473741329138</v>
      </c>
      <c r="E168" s="3">
        <f t="shared" si="6"/>
        <v>184876.38290393786</v>
      </c>
    </row>
    <row r="169" spans="1:5" x14ac:dyDescent="0.25">
      <c r="A169">
        <v>166</v>
      </c>
      <c r="B169" s="4">
        <f>-PPMT('With Loan'!$D$41/12,'30% Down Amortization'!$A169,360,'With Loan'!$D$40,0,0)</f>
        <v>689.80867755810732</v>
      </c>
      <c r="C169" s="4">
        <f>-IPMT('With Loan'!$D$41/12,'30% Down Amortization'!$A169,360,'With Loan'!$D$40,0,0)</f>
        <v>577.73869657480611</v>
      </c>
      <c r="D169" s="4">
        <f t="shared" si="5"/>
        <v>1267.5473741329133</v>
      </c>
      <c r="E169" s="3">
        <f t="shared" si="6"/>
        <v>184186.57422637974</v>
      </c>
    </row>
    <row r="170" spans="1:5" x14ac:dyDescent="0.25">
      <c r="A170">
        <v>167</v>
      </c>
      <c r="B170" s="4">
        <f>-PPMT('With Loan'!$D$41/12,'30% Down Amortization'!$A170,360,'With Loan'!$D$40,0,0)</f>
        <v>691.96432967547651</v>
      </c>
      <c r="C170" s="4">
        <f>-IPMT('With Loan'!$D$41/12,'30% Down Amortization'!$A170,360,'With Loan'!$D$40,0,0)</f>
        <v>575.58304445743715</v>
      </c>
      <c r="D170" s="4">
        <f t="shared" si="5"/>
        <v>1267.5473741329138</v>
      </c>
      <c r="E170" s="3">
        <f t="shared" si="6"/>
        <v>183494.60989670426</v>
      </c>
    </row>
    <row r="171" spans="1:5" x14ac:dyDescent="0.25">
      <c r="A171">
        <v>168</v>
      </c>
      <c r="B171" s="4">
        <f>-PPMT('With Loan'!$D$41/12,'30% Down Amortization'!$A171,360,'With Loan'!$D$40,0,0)</f>
        <v>694.12671820571222</v>
      </c>
      <c r="C171" s="4">
        <f>-IPMT('With Loan'!$D$41/12,'30% Down Amortization'!$A171,360,'With Loan'!$D$40,0,0)</f>
        <v>573.42065592720132</v>
      </c>
      <c r="D171" s="4">
        <f t="shared" si="5"/>
        <v>1267.5473741329135</v>
      </c>
      <c r="E171" s="3">
        <f t="shared" si="6"/>
        <v>182800.48317849854</v>
      </c>
    </row>
    <row r="172" spans="1:5" x14ac:dyDescent="0.25">
      <c r="A172">
        <v>169</v>
      </c>
      <c r="B172" s="4">
        <f>-PPMT('With Loan'!$D$41/12,'30% Down Amortization'!$A172,360,'With Loan'!$D$40,0,0)</f>
        <v>696.29586420010514</v>
      </c>
      <c r="C172" s="4">
        <f>-IPMT('With Loan'!$D$41/12,'30% Down Amortization'!$A172,360,'With Loan'!$D$40,0,0)</f>
        <v>571.2515099328084</v>
      </c>
      <c r="D172" s="4">
        <f t="shared" si="5"/>
        <v>1267.5473741329135</v>
      </c>
      <c r="E172" s="3">
        <f t="shared" si="6"/>
        <v>182104.18731429844</v>
      </c>
    </row>
    <row r="173" spans="1:5" x14ac:dyDescent="0.25">
      <c r="A173">
        <v>170</v>
      </c>
      <c r="B173" s="4">
        <f>-PPMT('With Loan'!$D$41/12,'30% Down Amortization'!$A173,360,'With Loan'!$D$40,0,0)</f>
        <v>698.47178877573037</v>
      </c>
      <c r="C173" s="4">
        <f>-IPMT('With Loan'!$D$41/12,'30% Down Amortization'!$A173,360,'With Loan'!$D$40,0,0)</f>
        <v>569.07558535718306</v>
      </c>
      <c r="D173" s="4">
        <f t="shared" si="5"/>
        <v>1267.5473741329133</v>
      </c>
      <c r="E173" s="3">
        <f t="shared" si="6"/>
        <v>181405.71552552271</v>
      </c>
    </row>
    <row r="174" spans="1:5" x14ac:dyDescent="0.25">
      <c r="A174">
        <v>171</v>
      </c>
      <c r="B174" s="4">
        <f>-PPMT('With Loan'!$D$41/12,'30% Down Amortization'!$A174,360,'With Loan'!$D$40,0,0)</f>
        <v>700.65451311565459</v>
      </c>
      <c r="C174" s="4">
        <f>-IPMT('With Loan'!$D$41/12,'30% Down Amortization'!$A174,360,'With Loan'!$D$40,0,0)</f>
        <v>566.89286101725895</v>
      </c>
      <c r="D174" s="4">
        <f t="shared" si="5"/>
        <v>1267.5473741329135</v>
      </c>
      <c r="E174" s="3">
        <f t="shared" si="6"/>
        <v>180705.06101240707</v>
      </c>
    </row>
    <row r="175" spans="1:5" x14ac:dyDescent="0.25">
      <c r="A175">
        <v>172</v>
      </c>
      <c r="B175" s="4">
        <f>-PPMT('With Loan'!$D$41/12,'30% Down Amortization'!$A175,360,'With Loan'!$D$40,0,0)</f>
        <v>702.84405846914103</v>
      </c>
      <c r="C175" s="4">
        <f>-IPMT('With Loan'!$D$41/12,'30% Down Amortization'!$A175,360,'With Loan'!$D$40,0,0)</f>
        <v>564.70331566377251</v>
      </c>
      <c r="D175" s="4">
        <f t="shared" si="5"/>
        <v>1267.5473741329135</v>
      </c>
      <c r="E175" s="3">
        <f t="shared" si="6"/>
        <v>180002.21695393792</v>
      </c>
    </row>
    <row r="176" spans="1:5" x14ac:dyDescent="0.25">
      <c r="A176">
        <v>173</v>
      </c>
      <c r="B176" s="4">
        <f>-PPMT('With Loan'!$D$41/12,'30% Down Amortization'!$A176,360,'With Loan'!$D$40,0,0)</f>
        <v>705.04044615185694</v>
      </c>
      <c r="C176" s="4">
        <f>-IPMT('With Loan'!$D$41/12,'30% Down Amortization'!$A176,360,'With Loan'!$D$40,0,0)</f>
        <v>562.50692798105649</v>
      </c>
      <c r="D176" s="4">
        <f t="shared" si="5"/>
        <v>1267.5473741329133</v>
      </c>
      <c r="E176" s="3">
        <f t="shared" si="6"/>
        <v>179297.17650778606</v>
      </c>
    </row>
    <row r="177" spans="1:5" x14ac:dyDescent="0.25">
      <c r="A177">
        <v>174</v>
      </c>
      <c r="B177" s="4">
        <f>-PPMT('With Loan'!$D$41/12,'30% Down Amortization'!$A177,360,'With Loan'!$D$40,0,0)</f>
        <v>707.24369754608176</v>
      </c>
      <c r="C177" s="4">
        <f>-IPMT('With Loan'!$D$41/12,'30% Down Amortization'!$A177,360,'With Loan'!$D$40,0,0)</f>
        <v>560.3036765868319</v>
      </c>
      <c r="D177" s="4">
        <f t="shared" si="5"/>
        <v>1267.5473741329138</v>
      </c>
      <c r="E177" s="3">
        <f t="shared" si="6"/>
        <v>178589.93281023999</v>
      </c>
    </row>
    <row r="178" spans="1:5" x14ac:dyDescent="0.25">
      <c r="A178">
        <v>175</v>
      </c>
      <c r="B178" s="4">
        <f>-PPMT('With Loan'!$D$41/12,'30% Down Amortization'!$A178,360,'With Loan'!$D$40,0,0)</f>
        <v>709.45383410091324</v>
      </c>
      <c r="C178" s="4">
        <f>-IPMT('With Loan'!$D$41/12,'30% Down Amortization'!$A178,360,'With Loan'!$D$40,0,0)</f>
        <v>558.09354003200042</v>
      </c>
      <c r="D178" s="4">
        <f t="shared" si="5"/>
        <v>1267.5473741329138</v>
      </c>
      <c r="E178" s="3">
        <f t="shared" si="6"/>
        <v>177880.47897613907</v>
      </c>
    </row>
    <row r="179" spans="1:5" x14ac:dyDescent="0.25">
      <c r="A179">
        <v>176</v>
      </c>
      <c r="B179" s="4">
        <f>-PPMT('With Loan'!$D$41/12,'30% Down Amortization'!$A179,360,'With Loan'!$D$40,0,0)</f>
        <v>711.67087733247843</v>
      </c>
      <c r="C179" s="4">
        <f>-IPMT('With Loan'!$D$41/12,'30% Down Amortization'!$A179,360,'With Loan'!$D$40,0,0)</f>
        <v>555.87649680043512</v>
      </c>
      <c r="D179" s="4">
        <f t="shared" si="5"/>
        <v>1267.5473741329135</v>
      </c>
      <c r="E179" s="3">
        <f t="shared" si="6"/>
        <v>177168.80809880659</v>
      </c>
    </row>
    <row r="180" spans="1:5" x14ac:dyDescent="0.25">
      <c r="A180">
        <v>177</v>
      </c>
      <c r="B180" s="4">
        <f>-PPMT('With Loan'!$D$41/12,'30% Down Amortization'!$A180,360,'With Loan'!$D$40,0,0)</f>
        <v>713.89484882414251</v>
      </c>
      <c r="C180" s="4">
        <f>-IPMT('With Loan'!$D$41/12,'30% Down Amortization'!$A180,360,'With Loan'!$D$40,0,0)</f>
        <v>553.65252530877092</v>
      </c>
      <c r="D180" s="4">
        <f t="shared" si="5"/>
        <v>1267.5473741329133</v>
      </c>
      <c r="E180" s="3">
        <f t="shared" si="6"/>
        <v>176454.91324998246</v>
      </c>
    </row>
    <row r="181" spans="1:5" x14ac:dyDescent="0.25">
      <c r="A181">
        <v>178</v>
      </c>
      <c r="B181" s="4">
        <f>-PPMT('With Loan'!$D$41/12,'30% Down Amortization'!$A181,360,'With Loan'!$D$40,0,0)</f>
        <v>716.12577022671792</v>
      </c>
      <c r="C181" s="4">
        <f>-IPMT('With Loan'!$D$41/12,'30% Down Amortization'!$A181,360,'With Loan'!$D$40,0,0)</f>
        <v>551.42160390619563</v>
      </c>
      <c r="D181" s="4">
        <f t="shared" si="5"/>
        <v>1267.5473741329135</v>
      </c>
      <c r="E181" s="3">
        <f t="shared" si="6"/>
        <v>175738.78747975573</v>
      </c>
    </row>
    <row r="182" spans="1:5" x14ac:dyDescent="0.25">
      <c r="A182">
        <v>179</v>
      </c>
      <c r="B182" s="4">
        <f>-PPMT('With Loan'!$D$41/12,'30% Down Amortization'!$A182,360,'With Loan'!$D$40,0,0)</f>
        <v>718.36366325867641</v>
      </c>
      <c r="C182" s="4">
        <f>-IPMT('With Loan'!$D$41/12,'30% Down Amortization'!$A182,360,'With Loan'!$D$40,0,0)</f>
        <v>549.18371087423714</v>
      </c>
      <c r="D182" s="4">
        <f t="shared" si="5"/>
        <v>1267.5473741329135</v>
      </c>
      <c r="E182" s="3">
        <f t="shared" si="6"/>
        <v>175020.42381649706</v>
      </c>
    </row>
    <row r="183" spans="1:5" x14ac:dyDescent="0.25">
      <c r="A183">
        <v>180</v>
      </c>
      <c r="B183" s="4">
        <f>-PPMT('With Loan'!$D$41/12,'30% Down Amortization'!$A183,360,'With Loan'!$D$40,0,0)</f>
        <v>720.6085497063599</v>
      </c>
      <c r="C183" s="4">
        <f>-IPMT('With Loan'!$D$41/12,'30% Down Amortization'!$A183,360,'With Loan'!$D$40,0,0)</f>
        <v>546.93882442655377</v>
      </c>
      <c r="D183" s="4">
        <f t="shared" si="5"/>
        <v>1267.5473741329138</v>
      </c>
      <c r="E183" s="3">
        <f t="shared" si="6"/>
        <v>174299.81526679071</v>
      </c>
    </row>
    <row r="184" spans="1:5" x14ac:dyDescent="0.25">
      <c r="A184">
        <v>181</v>
      </c>
      <c r="B184" s="4">
        <f>-PPMT('With Loan'!$D$41/12,'30% Down Amortization'!$A184,360,'With Loan'!$D$40,0,0)</f>
        <v>722.86045142419221</v>
      </c>
      <c r="C184" s="4">
        <f>-IPMT('With Loan'!$D$41/12,'30% Down Amortization'!$A184,360,'With Loan'!$D$40,0,0)</f>
        <v>544.68692270872134</v>
      </c>
      <c r="D184" s="4">
        <f t="shared" si="5"/>
        <v>1267.5473741329135</v>
      </c>
      <c r="E184" s="3">
        <f t="shared" si="6"/>
        <v>173576.95481536651</v>
      </c>
    </row>
    <row r="185" spans="1:5" x14ac:dyDescent="0.25">
      <c r="A185">
        <v>182</v>
      </c>
      <c r="B185" s="4">
        <f>-PPMT('With Loan'!$D$41/12,'30% Down Amortization'!$A185,360,'With Loan'!$D$40,0,0)</f>
        <v>725.11939033489273</v>
      </c>
      <c r="C185" s="4">
        <f>-IPMT('With Loan'!$D$41/12,'30% Down Amortization'!$A185,360,'With Loan'!$D$40,0,0)</f>
        <v>542.4279837980207</v>
      </c>
      <c r="D185" s="4">
        <f t="shared" si="5"/>
        <v>1267.5473741329133</v>
      </c>
      <c r="E185" s="3">
        <f t="shared" si="6"/>
        <v>172851.8354250316</v>
      </c>
    </row>
    <row r="186" spans="1:5" x14ac:dyDescent="0.25">
      <c r="A186">
        <v>183</v>
      </c>
      <c r="B186" s="4">
        <f>-PPMT('With Loan'!$D$41/12,'30% Down Amortization'!$A186,360,'With Loan'!$D$40,0,0)</f>
        <v>727.38538842968933</v>
      </c>
      <c r="C186" s="4">
        <f>-IPMT('With Loan'!$D$41/12,'30% Down Amortization'!$A186,360,'With Loan'!$D$40,0,0)</f>
        <v>540.16198570322422</v>
      </c>
      <c r="D186" s="4">
        <f t="shared" si="5"/>
        <v>1267.5473741329135</v>
      </c>
      <c r="E186" s="3">
        <f t="shared" si="6"/>
        <v>172124.45003660192</v>
      </c>
    </row>
    <row r="187" spans="1:5" x14ac:dyDescent="0.25">
      <c r="A187">
        <v>184</v>
      </c>
      <c r="B187" s="4">
        <f>-PPMT('With Loan'!$D$41/12,'30% Down Amortization'!$A187,360,'With Loan'!$D$40,0,0)</f>
        <v>729.6584677685322</v>
      </c>
      <c r="C187" s="4">
        <f>-IPMT('With Loan'!$D$41/12,'30% Down Amortization'!$A187,360,'With Loan'!$D$40,0,0)</f>
        <v>537.88890636438146</v>
      </c>
      <c r="D187" s="4">
        <f t="shared" si="5"/>
        <v>1267.5473741329138</v>
      </c>
      <c r="E187" s="3">
        <f t="shared" si="6"/>
        <v>171394.79156883337</v>
      </c>
    </row>
    <row r="188" spans="1:5" x14ac:dyDescent="0.25">
      <c r="A188">
        <v>185</v>
      </c>
      <c r="B188" s="4">
        <f>-PPMT('With Loan'!$D$41/12,'30% Down Amortization'!$A188,360,'With Loan'!$D$40,0,0)</f>
        <v>731.93865048030875</v>
      </c>
      <c r="C188" s="4">
        <f>-IPMT('With Loan'!$D$41/12,'30% Down Amortization'!$A188,360,'With Loan'!$D$40,0,0)</f>
        <v>535.60872365260491</v>
      </c>
      <c r="D188" s="4">
        <f t="shared" si="5"/>
        <v>1267.5473741329138</v>
      </c>
      <c r="E188" s="3">
        <f t="shared" si="6"/>
        <v>170662.85291835308</v>
      </c>
    </row>
    <row r="189" spans="1:5" x14ac:dyDescent="0.25">
      <c r="A189">
        <v>186</v>
      </c>
      <c r="B189" s="4">
        <f>-PPMT('With Loan'!$D$41/12,'30% Down Amortization'!$A189,360,'With Loan'!$D$40,0,0)</f>
        <v>734.22595876305979</v>
      </c>
      <c r="C189" s="4">
        <f>-IPMT('With Loan'!$D$41/12,'30% Down Amortization'!$A189,360,'With Loan'!$D$40,0,0)</f>
        <v>533.32141536985375</v>
      </c>
      <c r="D189" s="4">
        <f t="shared" si="5"/>
        <v>1267.5473741329135</v>
      </c>
      <c r="E189" s="3">
        <f t="shared" si="6"/>
        <v>169928.62695959001</v>
      </c>
    </row>
    <row r="190" spans="1:5" x14ac:dyDescent="0.25">
      <c r="A190">
        <v>187</v>
      </c>
      <c r="B190" s="4">
        <f>-PPMT('With Loan'!$D$41/12,'30% Down Amortization'!$A190,360,'With Loan'!$D$40,0,0)</f>
        <v>736.52041488419422</v>
      </c>
      <c r="C190" s="4">
        <f>-IPMT('With Loan'!$D$41/12,'30% Down Amortization'!$A190,360,'With Loan'!$D$40,0,0)</f>
        <v>531.02695924871932</v>
      </c>
      <c r="D190" s="4">
        <f t="shared" si="5"/>
        <v>1267.5473741329135</v>
      </c>
      <c r="E190" s="3">
        <f t="shared" si="6"/>
        <v>169192.10654470581</v>
      </c>
    </row>
    <row r="191" spans="1:5" x14ac:dyDescent="0.25">
      <c r="A191">
        <v>188</v>
      </c>
      <c r="B191" s="4">
        <f>-PPMT('With Loan'!$D$41/12,'30% Down Amortization'!$A191,360,'With Loan'!$D$40,0,0)</f>
        <v>738.82204118070729</v>
      </c>
      <c r="C191" s="4">
        <f>-IPMT('With Loan'!$D$41/12,'30% Down Amortization'!$A191,360,'With Loan'!$D$40,0,0)</f>
        <v>528.72533295220603</v>
      </c>
      <c r="D191" s="4">
        <f t="shared" si="5"/>
        <v>1267.5473741329133</v>
      </c>
      <c r="E191" s="3">
        <f t="shared" si="6"/>
        <v>168453.28450352509</v>
      </c>
    </row>
    <row r="192" spans="1:5" x14ac:dyDescent="0.25">
      <c r="A192">
        <v>189</v>
      </c>
      <c r="B192" s="4">
        <f>-PPMT('With Loan'!$D$41/12,'30% Down Amortization'!$A192,360,'With Loan'!$D$40,0,0)</f>
        <v>741.13086005939704</v>
      </c>
      <c r="C192" s="4">
        <f>-IPMT('With Loan'!$D$41/12,'30% Down Amortization'!$A192,360,'With Loan'!$D$40,0,0)</f>
        <v>526.4165140735164</v>
      </c>
      <c r="D192" s="4">
        <f t="shared" si="5"/>
        <v>1267.5473741329133</v>
      </c>
      <c r="E192" s="3">
        <f t="shared" si="6"/>
        <v>167712.15364346569</v>
      </c>
    </row>
    <row r="193" spans="1:5" x14ac:dyDescent="0.25">
      <c r="A193">
        <v>190</v>
      </c>
      <c r="B193" s="4">
        <f>-PPMT('With Loan'!$D$41/12,'30% Down Amortization'!$A193,360,'With Loan'!$D$40,0,0)</f>
        <v>743.44689399708284</v>
      </c>
      <c r="C193" s="4">
        <f>-IPMT('With Loan'!$D$41/12,'30% Down Amortization'!$A193,360,'With Loan'!$D$40,0,0)</f>
        <v>524.10048013583082</v>
      </c>
      <c r="D193" s="4">
        <f t="shared" si="5"/>
        <v>1267.5473741329138</v>
      </c>
      <c r="E193" s="3">
        <f t="shared" si="6"/>
        <v>166968.70674946861</v>
      </c>
    </row>
    <row r="194" spans="1:5" x14ac:dyDescent="0.25">
      <c r="A194">
        <v>191</v>
      </c>
      <c r="B194" s="4">
        <f>-PPMT('With Loan'!$D$41/12,'30% Down Amortization'!$A194,360,'With Loan'!$D$40,0,0)</f>
        <v>745.77016554082354</v>
      </c>
      <c r="C194" s="4">
        <f>-IPMT('With Loan'!$D$41/12,'30% Down Amortization'!$A194,360,'With Loan'!$D$40,0,0)</f>
        <v>521.77720859209001</v>
      </c>
      <c r="D194" s="4">
        <f t="shared" si="5"/>
        <v>1267.5473741329135</v>
      </c>
      <c r="E194" s="3">
        <f t="shared" si="6"/>
        <v>166222.93658392777</v>
      </c>
    </row>
    <row r="195" spans="1:5" x14ac:dyDescent="0.25">
      <c r="A195">
        <v>192</v>
      </c>
      <c r="B195" s="4">
        <f>-PPMT('With Loan'!$D$41/12,'30% Down Amortization'!$A195,360,'With Loan'!$D$40,0,0)</f>
        <v>748.10069730813871</v>
      </c>
      <c r="C195" s="4">
        <f>-IPMT('With Loan'!$D$41/12,'30% Down Amortization'!$A195,360,'With Loan'!$D$40,0,0)</f>
        <v>519.44667682477484</v>
      </c>
      <c r="D195" s="4">
        <f t="shared" si="5"/>
        <v>1267.5473741329135</v>
      </c>
      <c r="E195" s="3">
        <f t="shared" si="6"/>
        <v>165474.83588661964</v>
      </c>
    </row>
    <row r="196" spans="1:5" x14ac:dyDescent="0.25">
      <c r="A196">
        <v>193</v>
      </c>
      <c r="B196" s="4">
        <f>-PPMT('With Loan'!$D$41/12,'30% Down Amortization'!$A196,360,'With Loan'!$D$40,0,0)</f>
        <v>750.43851198722666</v>
      </c>
      <c r="C196" s="4">
        <f>-IPMT('With Loan'!$D$41/12,'30% Down Amortization'!$A196,360,'With Loan'!$D$40,0,0)</f>
        <v>517.108862145687</v>
      </c>
      <c r="D196" s="4">
        <f t="shared" si="5"/>
        <v>1267.5473741329138</v>
      </c>
      <c r="E196" s="3">
        <f t="shared" si="6"/>
        <v>164724.39737463242</v>
      </c>
    </row>
    <row r="197" spans="1:5" x14ac:dyDescent="0.25">
      <c r="A197">
        <v>194</v>
      </c>
      <c r="B197" s="4">
        <f>-PPMT('With Loan'!$D$41/12,'30% Down Amortization'!$A197,360,'With Loan'!$D$40,0,0)</f>
        <v>752.78363233718665</v>
      </c>
      <c r="C197" s="4">
        <f>-IPMT('With Loan'!$D$41/12,'30% Down Amortization'!$A197,360,'With Loan'!$D$40,0,0)</f>
        <v>514.7637417957269</v>
      </c>
      <c r="D197" s="4">
        <f t="shared" ref="D197:D260" si="7">B197+C197</f>
        <v>1267.5473741329135</v>
      </c>
      <c r="E197" s="3">
        <f t="shared" si="6"/>
        <v>163971.61374229525</v>
      </c>
    </row>
    <row r="198" spans="1:5" x14ac:dyDescent="0.25">
      <c r="A198">
        <v>195</v>
      </c>
      <c r="B198" s="4">
        <f>-PPMT('With Loan'!$D$41/12,'30% Down Amortization'!$A198,360,'With Loan'!$D$40,0,0)</f>
        <v>755.1360811882405</v>
      </c>
      <c r="C198" s="4">
        <f>-IPMT('With Loan'!$D$41/12,'30% Down Amortization'!$A198,360,'With Loan'!$D$40,0,0)</f>
        <v>512.41129294467305</v>
      </c>
      <c r="D198" s="4">
        <f t="shared" si="7"/>
        <v>1267.5473741329135</v>
      </c>
      <c r="E198" s="3">
        <f t="shared" si="6"/>
        <v>163216.477661107</v>
      </c>
    </row>
    <row r="199" spans="1:5" x14ac:dyDescent="0.25">
      <c r="A199">
        <v>196</v>
      </c>
      <c r="B199" s="4">
        <f>-PPMT('With Loan'!$D$41/12,'30% Down Amortization'!$A199,360,'With Loan'!$D$40,0,0)</f>
        <v>757.49588144195366</v>
      </c>
      <c r="C199" s="4">
        <f>-IPMT('With Loan'!$D$41/12,'30% Down Amortization'!$A199,360,'With Loan'!$D$40,0,0)</f>
        <v>510.05149269095989</v>
      </c>
      <c r="D199" s="4">
        <f t="shared" si="7"/>
        <v>1267.5473741329135</v>
      </c>
      <c r="E199" s="3">
        <f t="shared" si="6"/>
        <v>162458.98177966505</v>
      </c>
    </row>
    <row r="200" spans="1:5" x14ac:dyDescent="0.25">
      <c r="A200">
        <v>197</v>
      </c>
      <c r="B200" s="4">
        <f>-PPMT('With Loan'!$D$41/12,'30% Down Amortization'!$A200,360,'With Loan'!$D$40,0,0)</f>
        <v>759.86305607145971</v>
      </c>
      <c r="C200" s="4">
        <f>-IPMT('With Loan'!$D$41/12,'30% Down Amortization'!$A200,360,'With Loan'!$D$40,0,0)</f>
        <v>507.68431806145378</v>
      </c>
      <c r="D200" s="4">
        <f t="shared" si="7"/>
        <v>1267.5473741329135</v>
      </c>
      <c r="E200" s="3">
        <f t="shared" si="6"/>
        <v>161699.11872359359</v>
      </c>
    </row>
    <row r="201" spans="1:5" x14ac:dyDescent="0.25">
      <c r="A201">
        <v>198</v>
      </c>
      <c r="B201" s="4">
        <f>-PPMT('With Loan'!$D$41/12,'30% Down Amortization'!$A201,360,'With Loan'!$D$40,0,0)</f>
        <v>762.23762812168309</v>
      </c>
      <c r="C201" s="4">
        <f>-IPMT('With Loan'!$D$41/12,'30% Down Amortization'!$A201,360,'With Loan'!$D$40,0,0)</f>
        <v>505.30974601123046</v>
      </c>
      <c r="D201" s="4">
        <f t="shared" si="7"/>
        <v>1267.5473741329135</v>
      </c>
      <c r="E201" s="3">
        <f t="shared" si="6"/>
        <v>160936.88109547191</v>
      </c>
    </row>
    <row r="202" spans="1:5" x14ac:dyDescent="0.25">
      <c r="A202">
        <v>199</v>
      </c>
      <c r="B202" s="4">
        <f>-PPMT('With Loan'!$D$41/12,'30% Down Amortization'!$A202,360,'With Loan'!$D$40,0,0)</f>
        <v>764.61962070956338</v>
      </c>
      <c r="C202" s="4">
        <f>-IPMT('With Loan'!$D$41/12,'30% Down Amortization'!$A202,360,'With Loan'!$D$40,0,0)</f>
        <v>502.92775342335023</v>
      </c>
      <c r="D202" s="4">
        <f t="shared" si="7"/>
        <v>1267.5473741329135</v>
      </c>
      <c r="E202" s="3">
        <f t="shared" si="6"/>
        <v>160172.26147476234</v>
      </c>
    </row>
    <row r="203" spans="1:5" x14ac:dyDescent="0.25">
      <c r="A203">
        <v>200</v>
      </c>
      <c r="B203" s="4">
        <f>-PPMT('With Loan'!$D$41/12,'30% Down Amortization'!$A203,360,'With Loan'!$D$40,0,0)</f>
        <v>767.00905702428076</v>
      </c>
      <c r="C203" s="4">
        <f>-IPMT('With Loan'!$D$41/12,'30% Down Amortization'!$A203,360,'With Loan'!$D$40,0,0)</f>
        <v>500.53831710863284</v>
      </c>
      <c r="D203" s="4">
        <f t="shared" si="7"/>
        <v>1267.5473741329135</v>
      </c>
      <c r="E203" s="3">
        <f t="shared" si="6"/>
        <v>159405.25241773805</v>
      </c>
    </row>
    <row r="204" spans="1:5" x14ac:dyDescent="0.25">
      <c r="A204">
        <v>201</v>
      </c>
      <c r="B204" s="4">
        <f>-PPMT('With Loan'!$D$41/12,'30% Down Amortization'!$A204,360,'With Loan'!$D$40,0,0)</f>
        <v>769.40596032748158</v>
      </c>
      <c r="C204" s="4">
        <f>-IPMT('With Loan'!$D$41/12,'30% Down Amortization'!$A204,360,'With Loan'!$D$40,0,0)</f>
        <v>498.14141380543202</v>
      </c>
      <c r="D204" s="4">
        <f t="shared" si="7"/>
        <v>1267.5473741329135</v>
      </c>
      <c r="E204" s="3">
        <f t="shared" si="6"/>
        <v>158635.84645741057</v>
      </c>
    </row>
    <row r="205" spans="1:5" x14ac:dyDescent="0.25">
      <c r="A205">
        <v>202</v>
      </c>
      <c r="B205" s="4">
        <f>-PPMT('With Loan'!$D$41/12,'30% Down Amortization'!$A205,360,'With Loan'!$D$40,0,0)</f>
        <v>771.810353953505</v>
      </c>
      <c r="C205" s="4">
        <f>-IPMT('With Loan'!$D$41/12,'30% Down Amortization'!$A205,360,'With Loan'!$D$40,0,0)</f>
        <v>495.73702017940855</v>
      </c>
      <c r="D205" s="4">
        <f t="shared" si="7"/>
        <v>1267.5473741329135</v>
      </c>
      <c r="E205" s="3">
        <f t="shared" si="6"/>
        <v>157864.03610345707</v>
      </c>
    </row>
    <row r="206" spans="1:5" x14ac:dyDescent="0.25">
      <c r="A206">
        <v>203</v>
      </c>
      <c r="B206" s="4">
        <f>-PPMT('With Loan'!$D$41/12,'30% Down Amortization'!$A206,360,'With Loan'!$D$40,0,0)</f>
        <v>774.22226130960973</v>
      </c>
      <c r="C206" s="4">
        <f>-IPMT('With Loan'!$D$41/12,'30% Down Amortization'!$A206,360,'With Loan'!$D$40,0,0)</f>
        <v>493.32511282330381</v>
      </c>
      <c r="D206" s="4">
        <f t="shared" si="7"/>
        <v>1267.5473741329135</v>
      </c>
      <c r="E206" s="3">
        <f t="shared" si="6"/>
        <v>157089.81384214744</v>
      </c>
    </row>
    <row r="207" spans="1:5" x14ac:dyDescent="0.25">
      <c r="A207">
        <v>204</v>
      </c>
      <c r="B207" s="4">
        <f>-PPMT('With Loan'!$D$41/12,'30% Down Amortization'!$A207,360,'With Loan'!$D$40,0,0)</f>
        <v>776.6417058762022</v>
      </c>
      <c r="C207" s="4">
        <f>-IPMT('With Loan'!$D$41/12,'30% Down Amortization'!$A207,360,'With Loan'!$D$40,0,0)</f>
        <v>490.90566825671135</v>
      </c>
      <c r="D207" s="4">
        <f t="shared" si="7"/>
        <v>1267.5473741329135</v>
      </c>
      <c r="E207" s="3">
        <f t="shared" si="6"/>
        <v>156313.17213627123</v>
      </c>
    </row>
    <row r="208" spans="1:5" x14ac:dyDescent="0.25">
      <c r="A208">
        <v>205</v>
      </c>
      <c r="B208" s="4">
        <f>-PPMT('With Loan'!$D$41/12,'30% Down Amortization'!$A208,360,'With Loan'!$D$40,0,0)</f>
        <v>779.06871120706535</v>
      </c>
      <c r="C208" s="4">
        <f>-IPMT('With Loan'!$D$41/12,'30% Down Amortization'!$A208,360,'With Loan'!$D$40,0,0)</f>
        <v>488.4786629258482</v>
      </c>
      <c r="D208" s="4">
        <f t="shared" si="7"/>
        <v>1267.5473741329135</v>
      </c>
      <c r="E208" s="3">
        <f t="shared" si="6"/>
        <v>155534.10342506415</v>
      </c>
    </row>
    <row r="209" spans="1:5" x14ac:dyDescent="0.25">
      <c r="A209">
        <v>206</v>
      </c>
      <c r="B209" s="4">
        <f>-PPMT('With Loan'!$D$41/12,'30% Down Amortization'!$A209,360,'With Loan'!$D$40,0,0)</f>
        <v>781.50330092958745</v>
      </c>
      <c r="C209" s="4">
        <f>-IPMT('With Loan'!$D$41/12,'30% Down Amortization'!$A209,360,'With Loan'!$D$40,0,0)</f>
        <v>486.04407320332615</v>
      </c>
      <c r="D209" s="4">
        <f t="shared" si="7"/>
        <v>1267.5473741329135</v>
      </c>
      <c r="E209" s="3">
        <f t="shared" si="6"/>
        <v>154752.60012413457</v>
      </c>
    </row>
    <row r="210" spans="1:5" x14ac:dyDescent="0.25">
      <c r="A210">
        <v>207</v>
      </c>
      <c r="B210" s="4">
        <f>-PPMT('With Loan'!$D$41/12,'30% Down Amortization'!$A210,360,'With Loan'!$D$40,0,0)</f>
        <v>783.94549874499251</v>
      </c>
      <c r="C210" s="4">
        <f>-IPMT('With Loan'!$D$41/12,'30% Down Amortization'!$A210,360,'With Loan'!$D$40,0,0)</f>
        <v>483.60187538792121</v>
      </c>
      <c r="D210" s="4">
        <f t="shared" si="7"/>
        <v>1267.5473741329138</v>
      </c>
      <c r="E210" s="3">
        <f t="shared" si="6"/>
        <v>153968.65462538958</v>
      </c>
    </row>
    <row r="211" spans="1:5" x14ac:dyDescent="0.25">
      <c r="A211">
        <v>208</v>
      </c>
      <c r="B211" s="4">
        <f>-PPMT('With Loan'!$D$41/12,'30% Down Amortization'!$A211,360,'With Loan'!$D$40,0,0)</f>
        <v>786.39532842857056</v>
      </c>
      <c r="C211" s="4">
        <f>-IPMT('With Loan'!$D$41/12,'30% Down Amortization'!$A211,360,'With Loan'!$D$40,0,0)</f>
        <v>481.1520457043431</v>
      </c>
      <c r="D211" s="4">
        <f t="shared" si="7"/>
        <v>1267.5473741329138</v>
      </c>
      <c r="E211" s="3">
        <f t="shared" si="6"/>
        <v>153182.25929696101</v>
      </c>
    </row>
    <row r="212" spans="1:5" x14ac:dyDescent="0.25">
      <c r="A212">
        <v>209</v>
      </c>
      <c r="B212" s="4">
        <f>-PPMT('With Loan'!$D$41/12,'30% Down Amortization'!$A212,360,'With Loan'!$D$40,0,0)</f>
        <v>788.85281382990979</v>
      </c>
      <c r="C212" s="4">
        <f>-IPMT('With Loan'!$D$41/12,'30% Down Amortization'!$A212,360,'With Loan'!$D$40,0,0)</f>
        <v>478.69456030300375</v>
      </c>
      <c r="D212" s="4">
        <f t="shared" si="7"/>
        <v>1267.5473741329135</v>
      </c>
      <c r="E212" s="3">
        <f t="shared" si="6"/>
        <v>152393.40648313111</v>
      </c>
    </row>
    <row r="213" spans="1:5" x14ac:dyDescent="0.25">
      <c r="A213">
        <v>210</v>
      </c>
      <c r="B213" s="4">
        <f>-PPMT('With Loan'!$D$41/12,'30% Down Amortization'!$A213,360,'With Loan'!$D$40,0,0)</f>
        <v>791.31797887312814</v>
      </c>
      <c r="C213" s="4">
        <f>-IPMT('With Loan'!$D$41/12,'30% Down Amortization'!$A213,360,'With Loan'!$D$40,0,0)</f>
        <v>476.22939525978524</v>
      </c>
      <c r="D213" s="4">
        <f t="shared" si="7"/>
        <v>1267.5473741329133</v>
      </c>
      <c r="E213" s="3">
        <f t="shared" si="6"/>
        <v>151602.08850425799</v>
      </c>
    </row>
    <row r="214" spans="1:5" x14ac:dyDescent="0.25">
      <c r="A214">
        <v>211</v>
      </c>
      <c r="B214" s="4">
        <f>-PPMT('With Loan'!$D$41/12,'30% Down Amortization'!$A214,360,'With Loan'!$D$40,0,0)</f>
        <v>793.79084755710676</v>
      </c>
      <c r="C214" s="4">
        <f>-IPMT('With Loan'!$D$41/12,'30% Down Amortization'!$A214,360,'With Loan'!$D$40,0,0)</f>
        <v>473.75652657580684</v>
      </c>
      <c r="D214" s="4">
        <f t="shared" si="7"/>
        <v>1267.5473741329135</v>
      </c>
      <c r="E214" s="3">
        <f t="shared" si="6"/>
        <v>150808.29765670089</v>
      </c>
    </row>
    <row r="215" spans="1:5" x14ac:dyDescent="0.25">
      <c r="A215">
        <v>212</v>
      </c>
      <c r="B215" s="4">
        <f>-PPMT('With Loan'!$D$41/12,'30% Down Amortization'!$A215,360,'With Loan'!$D$40,0,0)</f>
        <v>796.27144395572282</v>
      </c>
      <c r="C215" s="4">
        <f>-IPMT('With Loan'!$D$41/12,'30% Down Amortization'!$A215,360,'With Loan'!$D$40,0,0)</f>
        <v>471.27593017719079</v>
      </c>
      <c r="D215" s="4">
        <f t="shared" si="7"/>
        <v>1267.5473741329135</v>
      </c>
      <c r="E215" s="3">
        <f t="shared" si="6"/>
        <v>150012.02621274517</v>
      </c>
    </row>
    <row r="216" spans="1:5" x14ac:dyDescent="0.25">
      <c r="A216">
        <v>213</v>
      </c>
      <c r="B216" s="4">
        <f>-PPMT('With Loan'!$D$41/12,'30% Down Amortization'!$A216,360,'With Loan'!$D$40,0,0)</f>
        <v>798.75979221808439</v>
      </c>
      <c r="C216" s="4">
        <f>-IPMT('With Loan'!$D$41/12,'30% Down Amortization'!$A216,360,'With Loan'!$D$40,0,0)</f>
        <v>468.78758191482927</v>
      </c>
      <c r="D216" s="4">
        <f t="shared" si="7"/>
        <v>1267.5473741329138</v>
      </c>
      <c r="E216" s="3">
        <f t="shared" si="6"/>
        <v>149213.2664205271</v>
      </c>
    </row>
    <row r="217" spans="1:5" x14ac:dyDescent="0.25">
      <c r="A217">
        <v>214</v>
      </c>
      <c r="B217" s="4">
        <f>-PPMT('With Loan'!$D$41/12,'30% Down Amortization'!$A217,360,'With Loan'!$D$40,0,0)</f>
        <v>801.25591656876577</v>
      </c>
      <c r="C217" s="4">
        <f>-IPMT('With Loan'!$D$41/12,'30% Down Amortization'!$A217,360,'With Loan'!$D$40,0,0)</f>
        <v>466.29145756414778</v>
      </c>
      <c r="D217" s="4">
        <f t="shared" si="7"/>
        <v>1267.5473741329135</v>
      </c>
      <c r="E217" s="3">
        <f t="shared" si="6"/>
        <v>148412.01050395833</v>
      </c>
    </row>
    <row r="218" spans="1:5" x14ac:dyDescent="0.25">
      <c r="A218">
        <v>215</v>
      </c>
      <c r="B218" s="4">
        <f>-PPMT('With Loan'!$D$41/12,'30% Down Amortization'!$A218,360,'With Loan'!$D$40,0,0)</f>
        <v>803.75984130804341</v>
      </c>
      <c r="C218" s="4">
        <f>-IPMT('With Loan'!$D$41/12,'30% Down Amortization'!$A218,360,'With Loan'!$D$40,0,0)</f>
        <v>463.7875328248702</v>
      </c>
      <c r="D218" s="4">
        <f t="shared" si="7"/>
        <v>1267.5473741329135</v>
      </c>
      <c r="E218" s="3">
        <f t="shared" si="6"/>
        <v>147608.25066265027</v>
      </c>
    </row>
    <row r="219" spans="1:5" x14ac:dyDescent="0.25">
      <c r="A219">
        <v>216</v>
      </c>
      <c r="B219" s="4">
        <f>-PPMT('With Loan'!$D$41/12,'30% Down Amortization'!$A219,360,'With Loan'!$D$40,0,0)</f>
        <v>806.27159081213085</v>
      </c>
      <c r="C219" s="4">
        <f>-IPMT('With Loan'!$D$41/12,'30% Down Amortization'!$A219,360,'With Loan'!$D$40,0,0)</f>
        <v>461.27578332078269</v>
      </c>
      <c r="D219" s="4">
        <f t="shared" si="7"/>
        <v>1267.5473741329135</v>
      </c>
      <c r="E219" s="3">
        <f t="shared" si="6"/>
        <v>146801.97907183814</v>
      </c>
    </row>
    <row r="220" spans="1:5" x14ac:dyDescent="0.25">
      <c r="A220">
        <v>217</v>
      </c>
      <c r="B220" s="4">
        <f>-PPMT('With Loan'!$D$41/12,'30% Down Amortization'!$A220,360,'With Loan'!$D$40,0,0)</f>
        <v>808.7911895334189</v>
      </c>
      <c r="C220" s="4">
        <f>-IPMT('With Loan'!$D$41/12,'30% Down Amortization'!$A220,360,'With Loan'!$D$40,0,0)</f>
        <v>458.75618459949482</v>
      </c>
      <c r="D220" s="4">
        <f t="shared" si="7"/>
        <v>1267.5473741329138</v>
      </c>
      <c r="E220" s="3">
        <f t="shared" si="6"/>
        <v>145993.18788230472</v>
      </c>
    </row>
    <row r="221" spans="1:5" x14ac:dyDescent="0.25">
      <c r="A221">
        <v>218</v>
      </c>
      <c r="B221" s="4">
        <f>-PPMT('With Loan'!$D$41/12,'30% Down Amortization'!$A221,360,'With Loan'!$D$40,0,0)</f>
        <v>811.31866200071079</v>
      </c>
      <c r="C221" s="4">
        <f>-IPMT('With Loan'!$D$41/12,'30% Down Amortization'!$A221,360,'With Loan'!$D$40,0,0)</f>
        <v>456.22871213220282</v>
      </c>
      <c r="D221" s="4">
        <f t="shared" si="7"/>
        <v>1267.5473741329135</v>
      </c>
      <c r="E221" s="3">
        <f t="shared" si="6"/>
        <v>145181.86922030401</v>
      </c>
    </row>
    <row r="222" spans="1:5" x14ac:dyDescent="0.25">
      <c r="A222">
        <v>219</v>
      </c>
      <c r="B222" s="4">
        <f>-PPMT('With Loan'!$D$41/12,'30% Down Amortization'!$A222,360,'With Loan'!$D$40,0,0)</f>
        <v>813.85403281946299</v>
      </c>
      <c r="C222" s="4">
        <f>-IPMT('With Loan'!$D$41/12,'30% Down Amortization'!$A222,360,'With Loan'!$D$40,0,0)</f>
        <v>453.69334131345056</v>
      </c>
      <c r="D222" s="4">
        <f t="shared" si="7"/>
        <v>1267.5473741329135</v>
      </c>
      <c r="E222" s="3">
        <f t="shared" si="6"/>
        <v>144368.01518748456</v>
      </c>
    </row>
    <row r="223" spans="1:5" x14ac:dyDescent="0.25">
      <c r="A223">
        <v>220</v>
      </c>
      <c r="B223" s="4">
        <f>-PPMT('With Loan'!$D$41/12,'30% Down Amortization'!$A223,360,'With Loan'!$D$40,0,0)</f>
        <v>816.39732667202384</v>
      </c>
      <c r="C223" s="4">
        <f>-IPMT('With Loan'!$D$41/12,'30% Down Amortization'!$A223,360,'With Loan'!$D$40,0,0)</f>
        <v>451.15004746088977</v>
      </c>
      <c r="D223" s="4">
        <f t="shared" si="7"/>
        <v>1267.5473741329135</v>
      </c>
      <c r="E223" s="3">
        <f t="shared" si="6"/>
        <v>143551.61786081255</v>
      </c>
    </row>
    <row r="224" spans="1:5" x14ac:dyDescent="0.25">
      <c r="A224">
        <v>221</v>
      </c>
      <c r="B224" s="4">
        <f>-PPMT('With Loan'!$D$41/12,'30% Down Amortization'!$A224,360,'With Loan'!$D$40,0,0)</f>
        <v>818.94856831787388</v>
      </c>
      <c r="C224" s="4">
        <f>-IPMT('With Loan'!$D$41/12,'30% Down Amortization'!$A224,360,'With Loan'!$D$40,0,0)</f>
        <v>448.59880581503961</v>
      </c>
      <c r="D224" s="4">
        <f t="shared" si="7"/>
        <v>1267.5473741329135</v>
      </c>
      <c r="E224" s="3">
        <f t="shared" si="6"/>
        <v>142732.66929249468</v>
      </c>
    </row>
    <row r="225" spans="1:5" x14ac:dyDescent="0.25">
      <c r="A225">
        <v>222</v>
      </c>
      <c r="B225" s="4">
        <f>-PPMT('With Loan'!$D$41/12,'30% Down Amortization'!$A225,360,'With Loan'!$D$40,0,0)</f>
        <v>821.50778259386732</v>
      </c>
      <c r="C225" s="4">
        <f>-IPMT('With Loan'!$D$41/12,'30% Down Amortization'!$A225,360,'With Loan'!$D$40,0,0)</f>
        <v>446.03959153904623</v>
      </c>
      <c r="D225" s="4">
        <f t="shared" si="7"/>
        <v>1267.5473741329135</v>
      </c>
      <c r="E225" s="3">
        <f t="shared" si="6"/>
        <v>141911.16150990082</v>
      </c>
    </row>
    <row r="226" spans="1:5" x14ac:dyDescent="0.25">
      <c r="A226">
        <v>223</v>
      </c>
      <c r="B226" s="4">
        <f>-PPMT('With Loan'!$D$41/12,'30% Down Amortization'!$A226,360,'With Loan'!$D$40,0,0)</f>
        <v>824.07499441447305</v>
      </c>
      <c r="C226" s="4">
        <f>-IPMT('With Loan'!$D$41/12,'30% Down Amortization'!$A226,360,'With Loan'!$D$40,0,0)</f>
        <v>443.47237971844049</v>
      </c>
      <c r="D226" s="4">
        <f t="shared" si="7"/>
        <v>1267.5473741329135</v>
      </c>
      <c r="E226" s="3">
        <f t="shared" ref="E226:E289" si="8">E225-B226</f>
        <v>141087.08651548636</v>
      </c>
    </row>
    <row r="227" spans="1:5" x14ac:dyDescent="0.25">
      <c r="A227">
        <v>224</v>
      </c>
      <c r="B227" s="4">
        <f>-PPMT('With Loan'!$D$41/12,'30% Down Amortization'!$A227,360,'With Loan'!$D$40,0,0)</f>
        <v>826.65022877201841</v>
      </c>
      <c r="C227" s="4">
        <f>-IPMT('With Loan'!$D$41/12,'30% Down Amortization'!$A227,360,'With Loan'!$D$40,0,0)</f>
        <v>440.89714536089531</v>
      </c>
      <c r="D227" s="4">
        <f t="shared" si="7"/>
        <v>1267.5473741329138</v>
      </c>
      <c r="E227" s="3">
        <f t="shared" si="8"/>
        <v>140260.43628671434</v>
      </c>
    </row>
    <row r="228" spans="1:5" x14ac:dyDescent="0.25">
      <c r="A228">
        <v>225</v>
      </c>
      <c r="B228" s="4">
        <f>-PPMT('With Loan'!$D$41/12,'30% Down Amortization'!$A228,360,'With Loan'!$D$40,0,0)</f>
        <v>829.23351073693073</v>
      </c>
      <c r="C228" s="4">
        <f>-IPMT('With Loan'!$D$41/12,'30% Down Amortization'!$A228,360,'With Loan'!$D$40,0,0)</f>
        <v>438.31386339598271</v>
      </c>
      <c r="D228" s="4">
        <f t="shared" si="7"/>
        <v>1267.5473741329133</v>
      </c>
      <c r="E228" s="3">
        <f t="shared" si="8"/>
        <v>139431.20277597741</v>
      </c>
    </row>
    <row r="229" spans="1:5" x14ac:dyDescent="0.25">
      <c r="A229">
        <v>226</v>
      </c>
      <c r="B229" s="4">
        <f>-PPMT('With Loan'!$D$41/12,'30% Down Amortization'!$A229,360,'With Loan'!$D$40,0,0)</f>
        <v>831.82486545798372</v>
      </c>
      <c r="C229" s="4">
        <f>-IPMT('With Loan'!$D$41/12,'30% Down Amortization'!$A229,360,'With Loan'!$D$40,0,0)</f>
        <v>435.72250867492983</v>
      </c>
      <c r="D229" s="4">
        <f t="shared" si="7"/>
        <v>1267.5473741329135</v>
      </c>
      <c r="E229" s="3">
        <f t="shared" si="8"/>
        <v>138599.37791051943</v>
      </c>
    </row>
    <row r="230" spans="1:5" x14ac:dyDescent="0.25">
      <c r="A230">
        <v>227</v>
      </c>
      <c r="B230" s="4">
        <f>-PPMT('With Loan'!$D$41/12,'30% Down Amortization'!$A230,360,'With Loan'!$D$40,0,0)</f>
        <v>834.42431816254009</v>
      </c>
      <c r="C230" s="4">
        <f>-IPMT('With Loan'!$D$41/12,'30% Down Amortization'!$A230,360,'With Loan'!$D$40,0,0)</f>
        <v>433.12305597037363</v>
      </c>
      <c r="D230" s="4">
        <f t="shared" si="7"/>
        <v>1267.5473741329138</v>
      </c>
      <c r="E230" s="3">
        <f t="shared" si="8"/>
        <v>137764.95359235688</v>
      </c>
    </row>
    <row r="231" spans="1:5" x14ac:dyDescent="0.25">
      <c r="A231">
        <v>228</v>
      </c>
      <c r="B231" s="4">
        <f>-PPMT('With Loan'!$D$41/12,'30% Down Amortization'!$A231,360,'With Loan'!$D$40,0,0)</f>
        <v>837.03189415679788</v>
      </c>
      <c r="C231" s="4">
        <f>-IPMT('With Loan'!$D$41/12,'30% Down Amortization'!$A231,360,'With Loan'!$D$40,0,0)</f>
        <v>430.51547997611573</v>
      </c>
      <c r="D231" s="4">
        <f t="shared" si="7"/>
        <v>1267.5473741329135</v>
      </c>
      <c r="E231" s="3">
        <f t="shared" si="8"/>
        <v>136927.92169820008</v>
      </c>
    </row>
    <row r="232" spans="1:5" x14ac:dyDescent="0.25">
      <c r="A232">
        <v>229</v>
      </c>
      <c r="B232" s="4">
        <f>-PPMT('With Loan'!$D$41/12,'30% Down Amortization'!$A232,360,'With Loan'!$D$40,0,0)</f>
        <v>839.64761882603796</v>
      </c>
      <c r="C232" s="4">
        <f>-IPMT('With Loan'!$D$41/12,'30% Down Amortization'!$A232,360,'With Loan'!$D$40,0,0)</f>
        <v>427.89975530687565</v>
      </c>
      <c r="D232" s="4">
        <f t="shared" si="7"/>
        <v>1267.5473741329135</v>
      </c>
      <c r="E232" s="3">
        <f t="shared" si="8"/>
        <v>136088.27407937404</v>
      </c>
    </row>
    <row r="233" spans="1:5" x14ac:dyDescent="0.25">
      <c r="A233">
        <v>230</v>
      </c>
      <c r="B233" s="4">
        <f>-PPMT('With Loan'!$D$41/12,'30% Down Amortization'!$A233,360,'With Loan'!$D$40,0,0)</f>
        <v>842.27151763486916</v>
      </c>
      <c r="C233" s="4">
        <f>-IPMT('With Loan'!$D$41/12,'30% Down Amortization'!$A233,360,'With Loan'!$D$40,0,0)</f>
        <v>425.27585649804439</v>
      </c>
      <c r="D233" s="4">
        <f t="shared" si="7"/>
        <v>1267.5473741329135</v>
      </c>
      <c r="E233" s="3">
        <f t="shared" si="8"/>
        <v>135246.00256173918</v>
      </c>
    </row>
    <row r="234" spans="1:5" x14ac:dyDescent="0.25">
      <c r="A234">
        <v>231</v>
      </c>
      <c r="B234" s="4">
        <f>-PPMT('With Loan'!$D$41/12,'30% Down Amortization'!$A234,360,'With Loan'!$D$40,0,0)</f>
        <v>844.90361612747813</v>
      </c>
      <c r="C234" s="4">
        <f>-IPMT('With Loan'!$D$41/12,'30% Down Amortization'!$A234,360,'With Loan'!$D$40,0,0)</f>
        <v>422.64375800543547</v>
      </c>
      <c r="D234" s="4">
        <f t="shared" si="7"/>
        <v>1267.5473741329135</v>
      </c>
      <c r="E234" s="3">
        <f t="shared" si="8"/>
        <v>134401.09894561171</v>
      </c>
    </row>
    <row r="235" spans="1:5" x14ac:dyDescent="0.25">
      <c r="A235">
        <v>232</v>
      </c>
      <c r="B235" s="4">
        <f>-PPMT('With Loan'!$D$41/12,'30% Down Amortization'!$A235,360,'With Loan'!$D$40,0,0)</f>
        <v>847.54393992787652</v>
      </c>
      <c r="C235" s="4">
        <f>-IPMT('With Loan'!$D$41/12,'30% Down Amortization'!$A235,360,'With Loan'!$D$40,0,0)</f>
        <v>420.00343420503702</v>
      </c>
      <c r="D235" s="4">
        <f t="shared" si="7"/>
        <v>1267.5473741329135</v>
      </c>
      <c r="E235" s="3">
        <f t="shared" si="8"/>
        <v>133553.55500568383</v>
      </c>
    </row>
    <row r="236" spans="1:5" x14ac:dyDescent="0.25">
      <c r="A236">
        <v>233</v>
      </c>
      <c r="B236" s="4">
        <f>-PPMT('With Loan'!$D$41/12,'30% Down Amortization'!$A236,360,'With Loan'!$D$40,0,0)</f>
        <v>850.19251474015118</v>
      </c>
      <c r="C236" s="4">
        <f>-IPMT('With Loan'!$D$41/12,'30% Down Amortization'!$A236,360,'With Loan'!$D$40,0,0)</f>
        <v>417.35485939276236</v>
      </c>
      <c r="D236" s="4">
        <f t="shared" si="7"/>
        <v>1267.5473741329135</v>
      </c>
      <c r="E236" s="3">
        <f t="shared" si="8"/>
        <v>132703.36249094366</v>
      </c>
    </row>
    <row r="237" spans="1:5" x14ac:dyDescent="0.25">
      <c r="A237">
        <v>234</v>
      </c>
      <c r="B237" s="4">
        <f>-PPMT('With Loan'!$D$41/12,'30% Down Amortization'!$A237,360,'With Loan'!$D$40,0,0)</f>
        <v>852.84936634871417</v>
      </c>
      <c r="C237" s="4">
        <f>-IPMT('With Loan'!$D$41/12,'30% Down Amortization'!$A237,360,'With Loan'!$D$40,0,0)</f>
        <v>414.69800778419943</v>
      </c>
      <c r="D237" s="4">
        <f t="shared" si="7"/>
        <v>1267.5473741329135</v>
      </c>
      <c r="E237" s="3">
        <f t="shared" si="8"/>
        <v>131850.51312459496</v>
      </c>
    </row>
    <row r="238" spans="1:5" x14ac:dyDescent="0.25">
      <c r="A238">
        <v>235</v>
      </c>
      <c r="B238" s="4">
        <f>-PPMT('With Loan'!$D$41/12,'30% Down Amortization'!$A238,360,'With Loan'!$D$40,0,0)</f>
        <v>855.51452061855389</v>
      </c>
      <c r="C238" s="4">
        <f>-IPMT('With Loan'!$D$41/12,'30% Down Amortization'!$A238,360,'With Loan'!$D$40,0,0)</f>
        <v>412.0328535143596</v>
      </c>
      <c r="D238" s="4">
        <f t="shared" si="7"/>
        <v>1267.5473741329135</v>
      </c>
      <c r="E238" s="3">
        <f t="shared" si="8"/>
        <v>130994.9986039764</v>
      </c>
    </row>
    <row r="239" spans="1:5" x14ac:dyDescent="0.25">
      <c r="A239">
        <v>236</v>
      </c>
      <c r="B239" s="4">
        <f>-PPMT('With Loan'!$D$41/12,'30% Down Amortization'!$A239,360,'With Loan'!$D$40,0,0)</f>
        <v>858.1880034954869</v>
      </c>
      <c r="C239" s="4">
        <f>-IPMT('With Loan'!$D$41/12,'30% Down Amortization'!$A239,360,'With Loan'!$D$40,0,0)</f>
        <v>409.35937063742671</v>
      </c>
      <c r="D239" s="4">
        <f t="shared" si="7"/>
        <v>1267.5473741329135</v>
      </c>
      <c r="E239" s="3">
        <f t="shared" si="8"/>
        <v>130136.81060048092</v>
      </c>
    </row>
    <row r="240" spans="1:5" x14ac:dyDescent="0.25">
      <c r="A240">
        <v>237</v>
      </c>
      <c r="B240" s="4">
        <f>-PPMT('With Loan'!$D$41/12,'30% Down Amortization'!$A240,360,'With Loan'!$D$40,0,0)</f>
        <v>860.8698410064103</v>
      </c>
      <c r="C240" s="4">
        <f>-IPMT('With Loan'!$D$41/12,'30% Down Amortization'!$A240,360,'With Loan'!$D$40,0,0)</f>
        <v>406.67753312650336</v>
      </c>
      <c r="D240" s="4">
        <f t="shared" si="7"/>
        <v>1267.5473741329138</v>
      </c>
      <c r="E240" s="3">
        <f t="shared" si="8"/>
        <v>129275.94075947451</v>
      </c>
    </row>
    <row r="241" spans="1:5" x14ac:dyDescent="0.25">
      <c r="A241">
        <v>238</v>
      </c>
      <c r="B241" s="4">
        <f>-PPMT('With Loan'!$D$41/12,'30% Down Amortization'!$A241,360,'With Loan'!$D$40,0,0)</f>
        <v>863.56005925955537</v>
      </c>
      <c r="C241" s="4">
        <f>-IPMT('With Loan'!$D$41/12,'30% Down Amortization'!$A241,360,'With Loan'!$D$40,0,0)</f>
        <v>403.98731487335823</v>
      </c>
      <c r="D241" s="4">
        <f t="shared" si="7"/>
        <v>1267.5473741329135</v>
      </c>
      <c r="E241" s="3">
        <f t="shared" si="8"/>
        <v>128412.38070021496</v>
      </c>
    </row>
    <row r="242" spans="1:5" x14ac:dyDescent="0.25">
      <c r="A242">
        <v>239</v>
      </c>
      <c r="B242" s="4">
        <f>-PPMT('With Loan'!$D$41/12,'30% Down Amortization'!$A242,360,'With Loan'!$D$40,0,0)</f>
        <v>866.25868444474133</v>
      </c>
      <c r="C242" s="4">
        <f>-IPMT('With Loan'!$D$41/12,'30% Down Amortization'!$A242,360,'With Loan'!$D$40,0,0)</f>
        <v>401.28868968817216</v>
      </c>
      <c r="D242" s="4">
        <f t="shared" si="7"/>
        <v>1267.5473741329135</v>
      </c>
      <c r="E242" s="3">
        <f t="shared" si="8"/>
        <v>127546.12201577022</v>
      </c>
    </row>
    <row r="243" spans="1:5" x14ac:dyDescent="0.25">
      <c r="A243">
        <v>240</v>
      </c>
      <c r="B243" s="4">
        <f>-PPMT('With Loan'!$D$41/12,'30% Down Amortization'!$A243,360,'With Loan'!$D$40,0,0)</f>
        <v>868.96574283363123</v>
      </c>
      <c r="C243" s="4">
        <f>-IPMT('With Loan'!$D$41/12,'30% Down Amortization'!$A243,360,'With Loan'!$D$40,0,0)</f>
        <v>398.58163129928238</v>
      </c>
      <c r="D243" s="4">
        <f t="shared" si="7"/>
        <v>1267.5473741329135</v>
      </c>
      <c r="E243" s="3">
        <f t="shared" si="8"/>
        <v>126677.15627293658</v>
      </c>
    </row>
    <row r="244" spans="1:5" x14ac:dyDescent="0.25">
      <c r="A244">
        <v>241</v>
      </c>
      <c r="B244" s="4">
        <f>-PPMT('With Loan'!$D$41/12,'30% Down Amortization'!$A244,360,'With Loan'!$D$40,0,0)</f>
        <v>871.68126077998636</v>
      </c>
      <c r="C244" s="4">
        <f>-IPMT('With Loan'!$D$41/12,'30% Down Amortization'!$A244,360,'With Loan'!$D$40,0,0)</f>
        <v>395.8661133529273</v>
      </c>
      <c r="D244" s="4">
        <f t="shared" si="7"/>
        <v>1267.5473741329138</v>
      </c>
      <c r="E244" s="3">
        <f t="shared" si="8"/>
        <v>125805.4750121566</v>
      </c>
    </row>
    <row r="245" spans="1:5" x14ac:dyDescent="0.25">
      <c r="A245">
        <v>242</v>
      </c>
      <c r="B245" s="4">
        <f>-PPMT('With Loan'!$D$41/12,'30% Down Amortization'!$A245,360,'With Loan'!$D$40,0,0)</f>
        <v>874.40526471992371</v>
      </c>
      <c r="C245" s="4">
        <f>-IPMT('With Loan'!$D$41/12,'30% Down Amortization'!$A245,360,'With Loan'!$D$40,0,0)</f>
        <v>393.14210941298978</v>
      </c>
      <c r="D245" s="4">
        <f t="shared" si="7"/>
        <v>1267.5473741329135</v>
      </c>
      <c r="E245" s="3">
        <f t="shared" si="8"/>
        <v>124931.06974743668</v>
      </c>
    </row>
    <row r="246" spans="1:5" x14ac:dyDescent="0.25">
      <c r="A246">
        <v>243</v>
      </c>
      <c r="B246" s="4">
        <f>-PPMT('With Loan'!$D$41/12,'30% Down Amortization'!$A246,360,'With Loan'!$D$40,0,0)</f>
        <v>877.13778117217362</v>
      </c>
      <c r="C246" s="4">
        <f>-IPMT('With Loan'!$D$41/12,'30% Down Amortization'!$A246,360,'With Loan'!$D$40,0,0)</f>
        <v>390.40959296074004</v>
      </c>
      <c r="D246" s="4">
        <f t="shared" si="7"/>
        <v>1267.5473741329138</v>
      </c>
      <c r="E246" s="3">
        <f t="shared" si="8"/>
        <v>124053.9319662645</v>
      </c>
    </row>
    <row r="247" spans="1:5" x14ac:dyDescent="0.25">
      <c r="A247">
        <v>244</v>
      </c>
      <c r="B247" s="4">
        <f>-PPMT('With Loan'!$D$41/12,'30% Down Amortization'!$A247,360,'With Loan'!$D$40,0,0)</f>
        <v>879.87883673833653</v>
      </c>
      <c r="C247" s="4">
        <f>-IPMT('With Loan'!$D$41/12,'30% Down Amortization'!$A247,360,'With Loan'!$D$40,0,0)</f>
        <v>387.66853739457696</v>
      </c>
      <c r="D247" s="4">
        <f t="shared" si="7"/>
        <v>1267.5473741329135</v>
      </c>
      <c r="E247" s="3">
        <f t="shared" si="8"/>
        <v>123174.05312952616</v>
      </c>
    </row>
    <row r="248" spans="1:5" x14ac:dyDescent="0.25">
      <c r="A248">
        <v>245</v>
      </c>
      <c r="B248" s="4">
        <f>-PPMT('With Loan'!$D$41/12,'30% Down Amortization'!$A248,360,'With Loan'!$D$40,0,0)</f>
        <v>882.62845810314388</v>
      </c>
      <c r="C248" s="4">
        <f>-IPMT('With Loan'!$D$41/12,'30% Down Amortization'!$A248,360,'With Loan'!$D$40,0,0)</f>
        <v>384.91891602976966</v>
      </c>
      <c r="D248" s="4">
        <f t="shared" si="7"/>
        <v>1267.5473741329135</v>
      </c>
      <c r="E248" s="3">
        <f t="shared" si="8"/>
        <v>122291.42467142301</v>
      </c>
    </row>
    <row r="249" spans="1:5" x14ac:dyDescent="0.25">
      <c r="A249">
        <v>246</v>
      </c>
      <c r="B249" s="4">
        <f>-PPMT('With Loan'!$D$41/12,'30% Down Amortization'!$A249,360,'With Loan'!$D$40,0,0)</f>
        <v>885.3866720347163</v>
      </c>
      <c r="C249" s="4">
        <f>-IPMT('With Loan'!$D$41/12,'30% Down Amortization'!$A249,360,'With Loan'!$D$40,0,0)</f>
        <v>382.16070209819731</v>
      </c>
      <c r="D249" s="4">
        <f t="shared" si="7"/>
        <v>1267.5473741329135</v>
      </c>
      <c r="E249" s="3">
        <f t="shared" si="8"/>
        <v>121406.0379993883</v>
      </c>
    </row>
    <row r="250" spans="1:5" x14ac:dyDescent="0.25">
      <c r="A250">
        <v>247</v>
      </c>
      <c r="B250" s="4">
        <f>-PPMT('With Loan'!$D$41/12,'30% Down Amortization'!$A250,360,'With Loan'!$D$40,0,0)</f>
        <v>888.1535053848246</v>
      </c>
      <c r="C250" s="4">
        <f>-IPMT('With Loan'!$D$41/12,'30% Down Amortization'!$A250,360,'With Loan'!$D$40,0,0)</f>
        <v>379.39386874808883</v>
      </c>
      <c r="D250" s="4">
        <f t="shared" si="7"/>
        <v>1267.5473741329133</v>
      </c>
      <c r="E250" s="3">
        <f t="shared" si="8"/>
        <v>120517.88449400348</v>
      </c>
    </row>
    <row r="251" spans="1:5" x14ac:dyDescent="0.25">
      <c r="A251">
        <v>248</v>
      </c>
      <c r="B251" s="4">
        <f>-PPMT('With Loan'!$D$41/12,'30% Down Amortization'!$A251,360,'With Loan'!$D$40,0,0)</f>
        <v>890.92898508915232</v>
      </c>
      <c r="C251" s="4">
        <f>-IPMT('With Loan'!$D$41/12,'30% Down Amortization'!$A251,360,'With Loan'!$D$40,0,0)</f>
        <v>376.61838904376123</v>
      </c>
      <c r="D251" s="4">
        <f t="shared" si="7"/>
        <v>1267.5473741329135</v>
      </c>
      <c r="E251" s="3">
        <f t="shared" si="8"/>
        <v>119626.95550891433</v>
      </c>
    </row>
    <row r="252" spans="1:5" x14ac:dyDescent="0.25">
      <c r="A252">
        <v>249</v>
      </c>
      <c r="B252" s="4">
        <f>-PPMT('With Loan'!$D$41/12,'30% Down Amortization'!$A252,360,'With Loan'!$D$40,0,0)</f>
        <v>893.71313816755583</v>
      </c>
      <c r="C252" s="4">
        <f>-IPMT('With Loan'!$D$41/12,'30% Down Amortization'!$A252,360,'With Loan'!$D$40,0,0)</f>
        <v>373.83423596535766</v>
      </c>
      <c r="D252" s="4">
        <f t="shared" si="7"/>
        <v>1267.5473741329135</v>
      </c>
      <c r="E252" s="3">
        <f t="shared" si="8"/>
        <v>118733.24237074677</v>
      </c>
    </row>
    <row r="253" spans="1:5" x14ac:dyDescent="0.25">
      <c r="A253">
        <v>250</v>
      </c>
      <c r="B253" s="4">
        <f>-PPMT('With Loan'!$D$41/12,'30% Down Amortization'!$A253,360,'With Loan'!$D$40,0,0)</f>
        <v>896.50599172432953</v>
      </c>
      <c r="C253" s="4">
        <f>-IPMT('With Loan'!$D$41/12,'30% Down Amortization'!$A253,360,'With Loan'!$D$40,0,0)</f>
        <v>371.04138240858413</v>
      </c>
      <c r="D253" s="4">
        <f t="shared" si="7"/>
        <v>1267.5473741329138</v>
      </c>
      <c r="E253" s="3">
        <f t="shared" si="8"/>
        <v>117836.73637902243</v>
      </c>
    </row>
    <row r="254" spans="1:5" x14ac:dyDescent="0.25">
      <c r="A254">
        <v>251</v>
      </c>
      <c r="B254" s="4">
        <f>-PPMT('With Loan'!$D$41/12,'30% Down Amortization'!$A254,360,'With Loan'!$D$40,0,0)</f>
        <v>899.30757294846796</v>
      </c>
      <c r="C254" s="4">
        <f>-IPMT('With Loan'!$D$41/12,'30% Down Amortization'!$A254,360,'With Loan'!$D$40,0,0)</f>
        <v>368.23980118444553</v>
      </c>
      <c r="D254" s="4">
        <f t="shared" si="7"/>
        <v>1267.5473741329135</v>
      </c>
      <c r="E254" s="3">
        <f t="shared" si="8"/>
        <v>116937.42880607396</v>
      </c>
    </row>
    <row r="255" spans="1:5" x14ac:dyDescent="0.25">
      <c r="A255">
        <v>252</v>
      </c>
      <c r="B255" s="4">
        <f>-PPMT('With Loan'!$D$41/12,'30% Down Amortization'!$A255,360,'With Loan'!$D$40,0,0)</f>
        <v>902.11790911393211</v>
      </c>
      <c r="C255" s="4">
        <f>-IPMT('With Loan'!$D$41/12,'30% Down Amortization'!$A255,360,'With Loan'!$D$40,0,0)</f>
        <v>365.4294650189816</v>
      </c>
      <c r="D255" s="4">
        <f t="shared" si="7"/>
        <v>1267.5473741329138</v>
      </c>
      <c r="E255" s="3">
        <f t="shared" si="8"/>
        <v>116035.31089696003</v>
      </c>
    </row>
    <row r="256" spans="1:5" x14ac:dyDescent="0.25">
      <c r="A256">
        <v>253</v>
      </c>
      <c r="B256" s="4">
        <f>-PPMT('With Loan'!$D$41/12,'30% Down Amortization'!$A256,360,'With Loan'!$D$40,0,0)</f>
        <v>904.93702757991298</v>
      </c>
      <c r="C256" s="4">
        <f>-IPMT('With Loan'!$D$41/12,'30% Down Amortization'!$A256,360,'With Loan'!$D$40,0,0)</f>
        <v>362.61034655300051</v>
      </c>
      <c r="D256" s="4">
        <f t="shared" si="7"/>
        <v>1267.5473741329135</v>
      </c>
      <c r="E256" s="3">
        <f t="shared" si="8"/>
        <v>115130.37386938011</v>
      </c>
    </row>
    <row r="257" spans="1:5" x14ac:dyDescent="0.25">
      <c r="A257">
        <v>254</v>
      </c>
      <c r="B257" s="4">
        <f>-PPMT('With Loan'!$D$41/12,'30% Down Amortization'!$A257,360,'With Loan'!$D$40,0,0)</f>
        <v>907.76495579110031</v>
      </c>
      <c r="C257" s="4">
        <f>-IPMT('With Loan'!$D$41/12,'30% Down Amortization'!$A257,360,'With Loan'!$D$40,0,0)</f>
        <v>359.78241834181335</v>
      </c>
      <c r="D257" s="4">
        <f t="shared" si="7"/>
        <v>1267.5473741329138</v>
      </c>
      <c r="E257" s="3">
        <f t="shared" si="8"/>
        <v>114222.60891358901</v>
      </c>
    </row>
    <row r="258" spans="1:5" x14ac:dyDescent="0.25">
      <c r="A258">
        <v>255</v>
      </c>
      <c r="B258" s="4">
        <f>-PPMT('With Loan'!$D$41/12,'30% Down Amortization'!$A258,360,'With Loan'!$D$40,0,0)</f>
        <v>910.60172127794749</v>
      </c>
      <c r="C258" s="4">
        <f>-IPMT('With Loan'!$D$41/12,'30% Down Amortization'!$A258,360,'With Loan'!$D$40,0,0)</f>
        <v>356.94565285496611</v>
      </c>
      <c r="D258" s="4">
        <f t="shared" si="7"/>
        <v>1267.5473741329135</v>
      </c>
      <c r="E258" s="3">
        <f t="shared" si="8"/>
        <v>113312.00719231107</v>
      </c>
    </row>
    <row r="259" spans="1:5" x14ac:dyDescent="0.25">
      <c r="A259">
        <v>256</v>
      </c>
      <c r="B259" s="4">
        <f>-PPMT('With Loan'!$D$41/12,'30% Down Amortization'!$A259,360,'With Loan'!$D$40,0,0)</f>
        <v>913.44735165694101</v>
      </c>
      <c r="C259" s="4">
        <f>-IPMT('With Loan'!$D$41/12,'30% Down Amortization'!$A259,360,'With Loan'!$D$40,0,0)</f>
        <v>354.10002247597248</v>
      </c>
      <c r="D259" s="4">
        <f t="shared" si="7"/>
        <v>1267.5473741329135</v>
      </c>
      <c r="E259" s="3">
        <f t="shared" si="8"/>
        <v>112398.55984065412</v>
      </c>
    </row>
    <row r="260" spans="1:5" x14ac:dyDescent="0.25">
      <c r="A260">
        <v>257</v>
      </c>
      <c r="B260" s="4">
        <f>-PPMT('With Loan'!$D$41/12,'30% Down Amortization'!$A260,360,'With Loan'!$D$40,0,0)</f>
        <v>916.30187463086884</v>
      </c>
      <c r="C260" s="4">
        <f>-IPMT('With Loan'!$D$41/12,'30% Down Amortization'!$A260,360,'With Loan'!$D$40,0,0)</f>
        <v>351.24549950204459</v>
      </c>
      <c r="D260" s="4">
        <f t="shared" si="7"/>
        <v>1267.5473741329133</v>
      </c>
      <c r="E260" s="3">
        <f t="shared" si="8"/>
        <v>111482.25796602326</v>
      </c>
    </row>
    <row r="261" spans="1:5" x14ac:dyDescent="0.25">
      <c r="A261">
        <v>258</v>
      </c>
      <c r="B261" s="4">
        <f>-PPMT('With Loan'!$D$41/12,'30% Down Amortization'!$A261,360,'With Loan'!$D$40,0,0)</f>
        <v>919.16531798909045</v>
      </c>
      <c r="C261" s="4">
        <f>-IPMT('With Loan'!$D$41/12,'30% Down Amortization'!$A261,360,'With Loan'!$D$40,0,0)</f>
        <v>348.38205614382315</v>
      </c>
      <c r="D261" s="4">
        <f t="shared" ref="D261:D324" si="9">B261+C261</f>
        <v>1267.5473741329135</v>
      </c>
      <c r="E261" s="3">
        <f t="shared" si="8"/>
        <v>110563.09264803417</v>
      </c>
    </row>
    <row r="262" spans="1:5" x14ac:dyDescent="0.25">
      <c r="A262">
        <v>259</v>
      </c>
      <c r="B262" s="4">
        <f>-PPMT('With Loan'!$D$41/12,'30% Down Amortization'!$A262,360,'With Loan'!$D$40,0,0)</f>
        <v>922.03770960780651</v>
      </c>
      <c r="C262" s="4">
        <f>-IPMT('With Loan'!$D$41/12,'30% Down Amortization'!$A262,360,'With Loan'!$D$40,0,0)</f>
        <v>345.50966452510721</v>
      </c>
      <c r="D262" s="4">
        <f t="shared" si="9"/>
        <v>1267.5473741329138</v>
      </c>
      <c r="E262" s="3">
        <f t="shared" si="8"/>
        <v>109641.05493842637</v>
      </c>
    </row>
    <row r="263" spans="1:5" x14ac:dyDescent="0.25">
      <c r="A263">
        <v>260</v>
      </c>
      <c r="B263" s="4">
        <f>-PPMT('With Loan'!$D$41/12,'30% Down Amortization'!$A263,360,'With Loan'!$D$40,0,0)</f>
        <v>924.91907745033075</v>
      </c>
      <c r="C263" s="4">
        <f>-IPMT('With Loan'!$D$41/12,'30% Down Amortization'!$A263,360,'With Loan'!$D$40,0,0)</f>
        <v>342.62829668258286</v>
      </c>
      <c r="D263" s="4">
        <f t="shared" si="9"/>
        <v>1267.5473741329135</v>
      </c>
      <c r="E263" s="3">
        <f t="shared" si="8"/>
        <v>108716.13586097604</v>
      </c>
    </row>
    <row r="264" spans="1:5" x14ac:dyDescent="0.25">
      <c r="A264">
        <v>261</v>
      </c>
      <c r="B264" s="4">
        <f>-PPMT('With Loan'!$D$41/12,'30% Down Amortization'!$A264,360,'With Loan'!$D$40,0,0)</f>
        <v>927.809449567363</v>
      </c>
      <c r="C264" s="4">
        <f>-IPMT('With Loan'!$D$41/12,'30% Down Amortization'!$A264,360,'With Loan'!$D$40,0,0)</f>
        <v>339.73792456555054</v>
      </c>
      <c r="D264" s="4">
        <f t="shared" si="9"/>
        <v>1267.5473741329135</v>
      </c>
      <c r="E264" s="3">
        <f t="shared" si="8"/>
        <v>107788.32641140868</v>
      </c>
    </row>
    <row r="265" spans="1:5" x14ac:dyDescent="0.25">
      <c r="A265">
        <v>262</v>
      </c>
      <c r="B265" s="4">
        <f>-PPMT('With Loan'!$D$41/12,'30% Down Amortization'!$A265,360,'With Loan'!$D$40,0,0)</f>
        <v>930.708854097261</v>
      </c>
      <c r="C265" s="4">
        <f>-IPMT('With Loan'!$D$41/12,'30% Down Amortization'!$A265,360,'With Loan'!$D$40,0,0)</f>
        <v>336.83852003565249</v>
      </c>
      <c r="D265" s="4">
        <f t="shared" si="9"/>
        <v>1267.5473741329135</v>
      </c>
      <c r="E265" s="3">
        <f t="shared" si="8"/>
        <v>106857.61755731142</v>
      </c>
    </row>
    <row r="266" spans="1:5" x14ac:dyDescent="0.25">
      <c r="A266">
        <v>263</v>
      </c>
      <c r="B266" s="4">
        <f>-PPMT('With Loan'!$D$41/12,'30% Down Amortization'!$A266,360,'With Loan'!$D$40,0,0)</f>
        <v>933.61731926631501</v>
      </c>
      <c r="C266" s="4">
        <f>-IPMT('With Loan'!$D$41/12,'30% Down Amortization'!$A266,360,'With Loan'!$D$40,0,0)</f>
        <v>333.93005486659854</v>
      </c>
      <c r="D266" s="4">
        <f t="shared" si="9"/>
        <v>1267.5473741329135</v>
      </c>
      <c r="E266" s="3">
        <f t="shared" si="8"/>
        <v>105924.0002380451</v>
      </c>
    </row>
    <row r="267" spans="1:5" x14ac:dyDescent="0.25">
      <c r="A267">
        <v>264</v>
      </c>
      <c r="B267" s="4">
        <f>-PPMT('With Loan'!$D$41/12,'30% Down Amortization'!$A267,360,'With Loan'!$D$40,0,0)</f>
        <v>936.53487338902221</v>
      </c>
      <c r="C267" s="4">
        <f>-IPMT('With Loan'!$D$41/12,'30% Down Amortization'!$A267,360,'With Loan'!$D$40,0,0)</f>
        <v>331.01250074389139</v>
      </c>
      <c r="D267" s="4">
        <f t="shared" si="9"/>
        <v>1267.5473741329135</v>
      </c>
      <c r="E267" s="3">
        <f t="shared" si="8"/>
        <v>104987.46536465608</v>
      </c>
    </row>
    <row r="268" spans="1:5" x14ac:dyDescent="0.25">
      <c r="A268">
        <v>265</v>
      </c>
      <c r="B268" s="4">
        <f>-PPMT('With Loan'!$D$41/12,'30% Down Amortization'!$A268,360,'With Loan'!$D$40,0,0)</f>
        <v>939.46154486836292</v>
      </c>
      <c r="C268" s="4">
        <f>-IPMT('With Loan'!$D$41/12,'30% Down Amortization'!$A268,360,'With Loan'!$D$40,0,0)</f>
        <v>328.08582926455068</v>
      </c>
      <c r="D268" s="4">
        <f t="shared" si="9"/>
        <v>1267.5473741329135</v>
      </c>
      <c r="E268" s="3">
        <f t="shared" si="8"/>
        <v>104048.00381978771</v>
      </c>
    </row>
    <row r="269" spans="1:5" x14ac:dyDescent="0.25">
      <c r="A269">
        <v>266</v>
      </c>
      <c r="B269" s="4">
        <f>-PPMT('With Loan'!$D$41/12,'30% Down Amortization'!$A269,360,'With Loan'!$D$40,0,0)</f>
        <v>942.39736219607653</v>
      </c>
      <c r="C269" s="4">
        <f>-IPMT('With Loan'!$D$41/12,'30% Down Amortization'!$A269,360,'With Loan'!$D$40,0,0)</f>
        <v>325.15001193683707</v>
      </c>
      <c r="D269" s="4">
        <f t="shared" si="9"/>
        <v>1267.5473741329135</v>
      </c>
      <c r="E269" s="3">
        <f t="shared" si="8"/>
        <v>103105.60645759164</v>
      </c>
    </row>
    <row r="270" spans="1:5" x14ac:dyDescent="0.25">
      <c r="A270">
        <v>267</v>
      </c>
      <c r="B270" s="4">
        <f>-PPMT('With Loan'!$D$41/12,'30% Down Amortization'!$A270,360,'With Loan'!$D$40,0,0)</f>
        <v>945.34235395293933</v>
      </c>
      <c r="C270" s="4">
        <f>-IPMT('With Loan'!$D$41/12,'30% Down Amortization'!$A270,360,'With Loan'!$D$40,0,0)</f>
        <v>322.20502017997433</v>
      </c>
      <c r="D270" s="4">
        <f t="shared" si="9"/>
        <v>1267.5473741329138</v>
      </c>
      <c r="E270" s="3">
        <f t="shared" si="8"/>
        <v>102160.26410363871</v>
      </c>
    </row>
    <row r="271" spans="1:5" x14ac:dyDescent="0.25">
      <c r="A271">
        <v>268</v>
      </c>
      <c r="B271" s="4">
        <f>-PPMT('With Loan'!$D$41/12,'30% Down Amortization'!$A271,360,'With Loan'!$D$40,0,0)</f>
        <v>948.29654880904229</v>
      </c>
      <c r="C271" s="4">
        <f>-IPMT('With Loan'!$D$41/12,'30% Down Amortization'!$A271,360,'With Loan'!$D$40,0,0)</f>
        <v>319.25082532387137</v>
      </c>
      <c r="D271" s="4">
        <f t="shared" si="9"/>
        <v>1267.5473741329138</v>
      </c>
      <c r="E271" s="3">
        <f t="shared" si="8"/>
        <v>101211.96755482967</v>
      </c>
    </row>
    <row r="272" spans="1:5" x14ac:dyDescent="0.25">
      <c r="A272">
        <v>269</v>
      </c>
      <c r="B272" s="4">
        <f>-PPMT('With Loan'!$D$41/12,'30% Down Amortization'!$A272,360,'With Loan'!$D$40,0,0)</f>
        <v>951.25997552407034</v>
      </c>
      <c r="C272" s="4">
        <f>-IPMT('With Loan'!$D$41/12,'30% Down Amortization'!$A272,360,'With Loan'!$D$40,0,0)</f>
        <v>316.28739860884315</v>
      </c>
      <c r="D272" s="4">
        <f t="shared" si="9"/>
        <v>1267.5473741329135</v>
      </c>
      <c r="E272" s="3">
        <f t="shared" si="8"/>
        <v>100260.7075793056</v>
      </c>
    </row>
    <row r="273" spans="1:5" x14ac:dyDescent="0.25">
      <c r="A273">
        <v>270</v>
      </c>
      <c r="B273" s="4">
        <f>-PPMT('With Loan'!$D$41/12,'30% Down Amortization'!$A273,360,'With Loan'!$D$40,0,0)</f>
        <v>954.23266294758321</v>
      </c>
      <c r="C273" s="4">
        <f>-IPMT('With Loan'!$D$41/12,'30% Down Amortization'!$A273,360,'With Loan'!$D$40,0,0)</f>
        <v>313.3147111853304</v>
      </c>
      <c r="D273" s="4">
        <f t="shared" si="9"/>
        <v>1267.5473741329135</v>
      </c>
      <c r="E273" s="3">
        <f t="shared" si="8"/>
        <v>99306.474916358013</v>
      </c>
    </row>
    <row r="274" spans="1:5" x14ac:dyDescent="0.25">
      <c r="A274">
        <v>271</v>
      </c>
      <c r="B274" s="4">
        <f>-PPMT('With Loan'!$D$41/12,'30% Down Amortization'!$A274,360,'With Loan'!$D$40,0,0)</f>
        <v>957.21464001929439</v>
      </c>
      <c r="C274" s="4">
        <f>-IPMT('With Loan'!$D$41/12,'30% Down Amortization'!$A274,360,'With Loan'!$D$40,0,0)</f>
        <v>310.33273411361915</v>
      </c>
      <c r="D274" s="4">
        <f t="shared" si="9"/>
        <v>1267.5473741329135</v>
      </c>
      <c r="E274" s="3">
        <f t="shared" si="8"/>
        <v>98349.260276338711</v>
      </c>
    </row>
    <row r="275" spans="1:5" x14ac:dyDescent="0.25">
      <c r="A275">
        <v>272</v>
      </c>
      <c r="B275" s="4">
        <f>-PPMT('With Loan'!$D$41/12,'30% Down Amortization'!$A275,360,'With Loan'!$D$40,0,0)</f>
        <v>960.20593576935471</v>
      </c>
      <c r="C275" s="4">
        <f>-IPMT('With Loan'!$D$41/12,'30% Down Amortization'!$A275,360,'With Loan'!$D$40,0,0)</f>
        <v>307.34143836355884</v>
      </c>
      <c r="D275" s="4">
        <f t="shared" si="9"/>
        <v>1267.5473741329135</v>
      </c>
      <c r="E275" s="3">
        <f t="shared" si="8"/>
        <v>97389.054340569361</v>
      </c>
    </row>
    <row r="276" spans="1:5" x14ac:dyDescent="0.25">
      <c r="A276">
        <v>273</v>
      </c>
      <c r="B276" s="4">
        <f>-PPMT('With Loan'!$D$41/12,'30% Down Amortization'!$A276,360,'With Loan'!$D$40,0,0)</f>
        <v>963.206579318634</v>
      </c>
      <c r="C276" s="4">
        <f>-IPMT('With Loan'!$D$41/12,'30% Down Amortization'!$A276,360,'With Loan'!$D$40,0,0)</f>
        <v>304.34079481427966</v>
      </c>
      <c r="D276" s="4">
        <f t="shared" si="9"/>
        <v>1267.5473741329138</v>
      </c>
      <c r="E276" s="3">
        <f t="shared" si="8"/>
        <v>96425.847761250727</v>
      </c>
    </row>
    <row r="277" spans="1:5" x14ac:dyDescent="0.25">
      <c r="A277">
        <v>274</v>
      </c>
      <c r="B277" s="4">
        <f>-PPMT('With Loan'!$D$41/12,'30% Down Amortization'!$A277,360,'With Loan'!$D$40,0,0)</f>
        <v>966.21659987900466</v>
      </c>
      <c r="C277" s="4">
        <f>-IPMT('With Loan'!$D$41/12,'30% Down Amortization'!$A277,360,'With Loan'!$D$40,0,0)</f>
        <v>301.33077425390894</v>
      </c>
      <c r="D277" s="4">
        <f t="shared" si="9"/>
        <v>1267.5473741329135</v>
      </c>
      <c r="E277" s="3">
        <f t="shared" si="8"/>
        <v>95459.631161371726</v>
      </c>
    </row>
    <row r="278" spans="1:5" x14ac:dyDescent="0.25">
      <c r="A278">
        <v>275</v>
      </c>
      <c r="B278" s="4">
        <f>-PPMT('With Loan'!$D$41/12,'30% Down Amortization'!$A278,360,'With Loan'!$D$40,0,0)</f>
        <v>969.23602675362667</v>
      </c>
      <c r="C278" s="4">
        <f>-IPMT('With Loan'!$D$41/12,'30% Down Amortization'!$A278,360,'With Loan'!$D$40,0,0)</f>
        <v>298.31134737928699</v>
      </c>
      <c r="D278" s="4">
        <f t="shared" si="9"/>
        <v>1267.5473741329138</v>
      </c>
      <c r="E278" s="3">
        <f t="shared" si="8"/>
        <v>94490.395134618098</v>
      </c>
    </row>
    <row r="279" spans="1:5" x14ac:dyDescent="0.25">
      <c r="A279">
        <v>276</v>
      </c>
      <c r="B279" s="4">
        <f>-PPMT('With Loan'!$D$41/12,'30% Down Amortization'!$A279,360,'With Loan'!$D$40,0,0)</f>
        <v>972.26488933723169</v>
      </c>
      <c r="C279" s="4">
        <f>-IPMT('With Loan'!$D$41/12,'30% Down Amortization'!$A279,360,'With Loan'!$D$40,0,0)</f>
        <v>295.28248479568197</v>
      </c>
      <c r="D279" s="4">
        <f t="shared" si="9"/>
        <v>1267.5473741329138</v>
      </c>
      <c r="E279" s="3">
        <f t="shared" si="8"/>
        <v>93518.13024528086</v>
      </c>
    </row>
    <row r="280" spans="1:5" x14ac:dyDescent="0.25">
      <c r="A280">
        <v>277</v>
      </c>
      <c r="B280" s="4">
        <f>-PPMT('With Loan'!$D$41/12,'30% Down Amortization'!$A280,360,'With Loan'!$D$40,0,0)</f>
        <v>975.30321711641056</v>
      </c>
      <c r="C280" s="4">
        <f>-IPMT('With Loan'!$D$41/12,'30% Down Amortization'!$A280,360,'With Loan'!$D$40,0,0)</f>
        <v>292.2441570165031</v>
      </c>
      <c r="D280" s="4">
        <f t="shared" si="9"/>
        <v>1267.5473741329138</v>
      </c>
      <c r="E280" s="3">
        <f t="shared" si="8"/>
        <v>92542.827028164451</v>
      </c>
    </row>
    <row r="281" spans="1:5" x14ac:dyDescent="0.25">
      <c r="A281">
        <v>278</v>
      </c>
      <c r="B281" s="4">
        <f>-PPMT('With Loan'!$D$41/12,'30% Down Amortization'!$A281,360,'With Loan'!$D$40,0,0)</f>
        <v>978.35103966989925</v>
      </c>
      <c r="C281" s="4">
        <f>-IPMT('With Loan'!$D$41/12,'30% Down Amortization'!$A281,360,'With Loan'!$D$40,0,0)</f>
        <v>289.1963344630143</v>
      </c>
      <c r="D281" s="4">
        <f t="shared" si="9"/>
        <v>1267.5473741329135</v>
      </c>
      <c r="E281" s="3">
        <f t="shared" si="8"/>
        <v>91564.475988494552</v>
      </c>
    </row>
    <row r="282" spans="1:5" x14ac:dyDescent="0.25">
      <c r="A282">
        <v>279</v>
      </c>
      <c r="B282" s="4">
        <f>-PPMT('With Loan'!$D$41/12,'30% Down Amortization'!$A282,360,'With Loan'!$D$40,0,0)</f>
        <v>981.40838666886771</v>
      </c>
      <c r="C282" s="4">
        <f>-IPMT('With Loan'!$D$41/12,'30% Down Amortization'!$A282,360,'With Loan'!$D$40,0,0)</f>
        <v>286.1389874640459</v>
      </c>
      <c r="D282" s="4">
        <f t="shared" si="9"/>
        <v>1267.5473741329135</v>
      </c>
      <c r="E282" s="3">
        <f t="shared" si="8"/>
        <v>90583.067601825678</v>
      </c>
    </row>
    <row r="283" spans="1:5" x14ac:dyDescent="0.25">
      <c r="A283">
        <v>280</v>
      </c>
      <c r="B283" s="4">
        <f>-PPMT('With Loan'!$D$41/12,'30% Down Amortization'!$A283,360,'With Loan'!$D$40,0,0)</f>
        <v>984.47528787720773</v>
      </c>
      <c r="C283" s="4">
        <f>-IPMT('With Loan'!$D$41/12,'30% Down Amortization'!$A283,360,'With Loan'!$D$40,0,0)</f>
        <v>283.0720862557057</v>
      </c>
      <c r="D283" s="4">
        <f t="shared" si="9"/>
        <v>1267.5473741329133</v>
      </c>
      <c r="E283" s="3">
        <f t="shared" si="8"/>
        <v>89598.592313948466</v>
      </c>
    </row>
    <row r="284" spans="1:5" x14ac:dyDescent="0.25">
      <c r="A284">
        <v>281</v>
      </c>
      <c r="B284" s="4">
        <f>-PPMT('With Loan'!$D$41/12,'30% Down Amortization'!$A284,360,'With Loan'!$D$40,0,0)</f>
        <v>987.55177315182414</v>
      </c>
      <c r="C284" s="4">
        <f>-IPMT('With Loan'!$D$41/12,'30% Down Amortization'!$A284,360,'With Loan'!$D$40,0,0)</f>
        <v>279.99560098108941</v>
      </c>
      <c r="D284" s="4">
        <f t="shared" si="9"/>
        <v>1267.5473741329135</v>
      </c>
      <c r="E284" s="3">
        <f t="shared" si="8"/>
        <v>88611.040540796646</v>
      </c>
    </row>
    <row r="285" spans="1:5" x14ac:dyDescent="0.25">
      <c r="A285">
        <v>282</v>
      </c>
      <c r="B285" s="4">
        <f>-PPMT('With Loan'!$D$41/12,'30% Down Amortization'!$A285,360,'With Loan'!$D$40,0,0)</f>
        <v>990.63787244292371</v>
      </c>
      <c r="C285" s="4">
        <f>-IPMT('With Loan'!$D$41/12,'30% Down Amortization'!$A285,360,'With Loan'!$D$40,0,0)</f>
        <v>276.90950168998995</v>
      </c>
      <c r="D285" s="4">
        <f t="shared" si="9"/>
        <v>1267.5473741329138</v>
      </c>
      <c r="E285" s="3">
        <f t="shared" si="8"/>
        <v>87620.402668353723</v>
      </c>
    </row>
    <row r="286" spans="1:5" x14ac:dyDescent="0.25">
      <c r="A286">
        <v>283</v>
      </c>
      <c r="B286" s="4">
        <f>-PPMT('With Loan'!$D$41/12,'30% Down Amortization'!$A286,360,'With Loan'!$D$40,0,0)</f>
        <v>993.73361579430775</v>
      </c>
      <c r="C286" s="4">
        <f>-IPMT('With Loan'!$D$41/12,'30% Down Amortization'!$A286,360,'With Loan'!$D$40,0,0)</f>
        <v>273.81375833860579</v>
      </c>
      <c r="D286" s="4">
        <f t="shared" si="9"/>
        <v>1267.5473741329135</v>
      </c>
      <c r="E286" s="3">
        <f t="shared" si="8"/>
        <v>86626.669052559417</v>
      </c>
    </row>
    <row r="287" spans="1:5" x14ac:dyDescent="0.25">
      <c r="A287">
        <v>284</v>
      </c>
      <c r="B287" s="4">
        <f>-PPMT('With Loan'!$D$41/12,'30% Down Amortization'!$A287,360,'With Loan'!$D$40,0,0)</f>
        <v>996.83903334366505</v>
      </c>
      <c r="C287" s="4">
        <f>-IPMT('With Loan'!$D$41/12,'30% Down Amortization'!$A287,360,'With Loan'!$D$40,0,0)</f>
        <v>270.70834078924861</v>
      </c>
      <c r="D287" s="4">
        <f t="shared" si="9"/>
        <v>1267.5473741329138</v>
      </c>
      <c r="E287" s="3">
        <f t="shared" si="8"/>
        <v>85629.830019215748</v>
      </c>
    </row>
    <row r="288" spans="1:5" x14ac:dyDescent="0.25">
      <c r="A288">
        <v>285</v>
      </c>
      <c r="B288" s="4">
        <f>-PPMT('With Loan'!$D$41/12,'30% Down Amortization'!$A288,360,'With Loan'!$D$40,0,0)</f>
        <v>999.95415532286393</v>
      </c>
      <c r="C288" s="4">
        <f>-IPMT('With Loan'!$D$41/12,'30% Down Amortization'!$A288,360,'With Loan'!$D$40,0,0)</f>
        <v>267.59321881004962</v>
      </c>
      <c r="D288" s="4">
        <f t="shared" si="9"/>
        <v>1267.5473741329135</v>
      </c>
      <c r="E288" s="3">
        <f t="shared" si="8"/>
        <v>84629.875863892885</v>
      </c>
    </row>
    <row r="289" spans="1:5" x14ac:dyDescent="0.25">
      <c r="A289">
        <v>286</v>
      </c>
      <c r="B289" s="4">
        <f>-PPMT('With Loan'!$D$41/12,'30% Down Amortization'!$A289,360,'With Loan'!$D$40,0,0)</f>
        <v>1003.0790120582479</v>
      </c>
      <c r="C289" s="4">
        <f>-IPMT('With Loan'!$D$41/12,'30% Down Amortization'!$A289,360,'With Loan'!$D$40,0,0)</f>
        <v>264.46836207466572</v>
      </c>
      <c r="D289" s="4">
        <f t="shared" si="9"/>
        <v>1267.5473741329138</v>
      </c>
      <c r="E289" s="3">
        <f t="shared" si="8"/>
        <v>83626.796851834632</v>
      </c>
    </row>
    <row r="290" spans="1:5" x14ac:dyDescent="0.25">
      <c r="A290">
        <v>287</v>
      </c>
      <c r="B290" s="4">
        <f>-PPMT('With Loan'!$D$41/12,'30% Down Amortization'!$A290,360,'With Loan'!$D$40,0,0)</f>
        <v>1006.21363397093</v>
      </c>
      <c r="C290" s="4">
        <f>-IPMT('With Loan'!$D$41/12,'30% Down Amortization'!$A290,360,'With Loan'!$D$40,0,0)</f>
        <v>261.33374016198366</v>
      </c>
      <c r="D290" s="4">
        <f t="shared" si="9"/>
        <v>1267.5473741329138</v>
      </c>
      <c r="E290" s="3">
        <f t="shared" ref="E290:E353" si="10">E289-B290</f>
        <v>82620.583217863707</v>
      </c>
    </row>
    <row r="291" spans="1:5" x14ac:dyDescent="0.25">
      <c r="A291">
        <v>288</v>
      </c>
      <c r="B291" s="4">
        <f>-PPMT('With Loan'!$D$41/12,'30% Down Amortization'!$A291,360,'With Loan'!$D$40,0,0)</f>
        <v>1009.358051577089</v>
      </c>
      <c r="C291" s="4">
        <f>-IPMT('With Loan'!$D$41/12,'30% Down Amortization'!$A291,360,'With Loan'!$D$40,0,0)</f>
        <v>258.1893225558245</v>
      </c>
      <c r="D291" s="4">
        <f t="shared" si="9"/>
        <v>1267.5473741329135</v>
      </c>
      <c r="E291" s="3">
        <f t="shared" si="10"/>
        <v>81611.225166286618</v>
      </c>
    </row>
    <row r="292" spans="1:5" x14ac:dyDescent="0.25">
      <c r="A292">
        <v>289</v>
      </c>
      <c r="B292" s="4">
        <f>-PPMT('With Loan'!$D$41/12,'30% Down Amortization'!$A292,360,'With Loan'!$D$40,0,0)</f>
        <v>1012.5122954882673</v>
      </c>
      <c r="C292" s="4">
        <f>-IPMT('With Loan'!$D$41/12,'30% Down Amortization'!$A292,360,'With Loan'!$D$40,0,0)</f>
        <v>255.03507864464612</v>
      </c>
      <c r="D292" s="4">
        <f t="shared" si="9"/>
        <v>1267.5473741329135</v>
      </c>
      <c r="E292" s="3">
        <f t="shared" si="10"/>
        <v>80598.71287079835</v>
      </c>
    </row>
    <row r="293" spans="1:5" x14ac:dyDescent="0.25">
      <c r="A293">
        <v>290</v>
      </c>
      <c r="B293" s="4">
        <f>-PPMT('With Loan'!$D$41/12,'30% Down Amortization'!$A293,360,'With Loan'!$D$40,0,0)</f>
        <v>1015.6763964116683</v>
      </c>
      <c r="C293" s="4">
        <f>-IPMT('With Loan'!$D$41/12,'30% Down Amortization'!$A293,360,'With Loan'!$D$40,0,0)</f>
        <v>251.87097772124528</v>
      </c>
      <c r="D293" s="4">
        <f t="shared" si="9"/>
        <v>1267.5473741329135</v>
      </c>
      <c r="E293" s="3">
        <f t="shared" si="10"/>
        <v>79583.036474386681</v>
      </c>
    </row>
    <row r="294" spans="1:5" x14ac:dyDescent="0.25">
      <c r="A294">
        <v>291</v>
      </c>
      <c r="B294" s="4">
        <f>-PPMT('With Loan'!$D$41/12,'30% Down Amortization'!$A294,360,'With Loan'!$D$40,0,0)</f>
        <v>1018.8503851504548</v>
      </c>
      <c r="C294" s="4">
        <f>-IPMT('With Loan'!$D$41/12,'30% Down Amortization'!$A294,360,'With Loan'!$D$40,0,0)</f>
        <v>248.69698898245886</v>
      </c>
      <c r="D294" s="4">
        <f t="shared" si="9"/>
        <v>1267.5473741329138</v>
      </c>
      <c r="E294" s="3">
        <f t="shared" si="10"/>
        <v>78564.186089236231</v>
      </c>
    </row>
    <row r="295" spans="1:5" x14ac:dyDescent="0.25">
      <c r="A295">
        <v>292</v>
      </c>
      <c r="B295" s="4">
        <f>-PPMT('With Loan'!$D$41/12,'30% Down Amortization'!$A295,360,'With Loan'!$D$40,0,0)</f>
        <v>1022.0342926040501</v>
      </c>
      <c r="C295" s="4">
        <f>-IPMT('With Loan'!$D$41/12,'30% Down Amortization'!$A295,360,'With Loan'!$D$40,0,0)</f>
        <v>245.51308152886367</v>
      </c>
      <c r="D295" s="4">
        <f t="shared" si="9"/>
        <v>1267.5473741329138</v>
      </c>
      <c r="E295" s="3">
        <f t="shared" si="10"/>
        <v>77542.151796632184</v>
      </c>
    </row>
    <row r="296" spans="1:5" x14ac:dyDescent="0.25">
      <c r="A296">
        <v>293</v>
      </c>
      <c r="B296" s="4">
        <f>-PPMT('With Loan'!$D$41/12,'30% Down Amortization'!$A296,360,'With Loan'!$D$40,0,0)</f>
        <v>1025.2281497684376</v>
      </c>
      <c r="C296" s="4">
        <f>-IPMT('With Loan'!$D$41/12,'30% Down Amortization'!$A296,360,'With Loan'!$D$40,0,0)</f>
        <v>242.31922436447596</v>
      </c>
      <c r="D296" s="4">
        <f t="shared" si="9"/>
        <v>1267.5473741329135</v>
      </c>
      <c r="E296" s="3">
        <f t="shared" si="10"/>
        <v>76516.923646863754</v>
      </c>
    </row>
    <row r="297" spans="1:5" x14ac:dyDescent="0.25">
      <c r="A297">
        <v>294</v>
      </c>
      <c r="B297" s="4">
        <f>-PPMT('With Loan'!$D$41/12,'30% Down Amortization'!$A297,360,'With Loan'!$D$40,0,0)</f>
        <v>1028.431987736464</v>
      </c>
      <c r="C297" s="4">
        <f>-IPMT('With Loan'!$D$41/12,'30% Down Amortization'!$A297,360,'With Loan'!$D$40,0,0)</f>
        <v>239.11538639644965</v>
      </c>
      <c r="D297" s="4">
        <f t="shared" si="9"/>
        <v>1267.5473741329135</v>
      </c>
      <c r="E297" s="3">
        <f t="shared" si="10"/>
        <v>75488.491659127292</v>
      </c>
    </row>
    <row r="298" spans="1:5" x14ac:dyDescent="0.25">
      <c r="A298">
        <v>295</v>
      </c>
      <c r="B298" s="4">
        <f>-PPMT('With Loan'!$D$41/12,'30% Down Amortization'!$A298,360,'With Loan'!$D$40,0,0)</f>
        <v>1031.6458376981404</v>
      </c>
      <c r="C298" s="4">
        <f>-IPMT('With Loan'!$D$41/12,'30% Down Amortization'!$A298,360,'With Loan'!$D$40,0,0)</f>
        <v>235.90153643477319</v>
      </c>
      <c r="D298" s="4">
        <f t="shared" si="9"/>
        <v>1267.5473741329135</v>
      </c>
      <c r="E298" s="3">
        <f t="shared" si="10"/>
        <v>74456.845821429146</v>
      </c>
    </row>
    <row r="299" spans="1:5" x14ac:dyDescent="0.25">
      <c r="A299">
        <v>296</v>
      </c>
      <c r="B299" s="4">
        <f>-PPMT('With Loan'!$D$41/12,'30% Down Amortization'!$A299,360,'With Loan'!$D$40,0,0)</f>
        <v>1034.8697309409472</v>
      </c>
      <c r="C299" s="4">
        <f>-IPMT('With Loan'!$D$41/12,'30% Down Amortization'!$A299,360,'With Loan'!$D$40,0,0)</f>
        <v>232.67764319196652</v>
      </c>
      <c r="D299" s="4">
        <f t="shared" si="9"/>
        <v>1267.5473741329138</v>
      </c>
      <c r="E299" s="3">
        <f t="shared" si="10"/>
        <v>73421.976090488199</v>
      </c>
    </row>
    <row r="300" spans="1:5" x14ac:dyDescent="0.25">
      <c r="A300">
        <v>297</v>
      </c>
      <c r="B300" s="4">
        <f>-PPMT('With Loan'!$D$41/12,'30% Down Amortization'!$A300,360,'With Loan'!$D$40,0,0)</f>
        <v>1038.1036988501376</v>
      </c>
      <c r="C300" s="4">
        <f>-IPMT('With Loan'!$D$41/12,'30% Down Amortization'!$A300,360,'With Loan'!$D$40,0,0)</f>
        <v>229.44367528277607</v>
      </c>
      <c r="D300" s="4">
        <f t="shared" si="9"/>
        <v>1267.5473741329135</v>
      </c>
      <c r="E300" s="3">
        <f t="shared" si="10"/>
        <v>72383.872391638055</v>
      </c>
    </row>
    <row r="301" spans="1:5" x14ac:dyDescent="0.25">
      <c r="A301">
        <v>298</v>
      </c>
      <c r="B301" s="4">
        <f>-PPMT('With Loan'!$D$41/12,'30% Down Amortization'!$A301,360,'With Loan'!$D$40,0,0)</f>
        <v>1041.3477729090441</v>
      </c>
      <c r="C301" s="4">
        <f>-IPMT('With Loan'!$D$41/12,'30% Down Amortization'!$A301,360,'With Loan'!$D$40,0,0)</f>
        <v>226.19960122386931</v>
      </c>
      <c r="D301" s="4">
        <f t="shared" si="9"/>
        <v>1267.5473741329133</v>
      </c>
      <c r="E301" s="3">
        <f t="shared" si="10"/>
        <v>71342.524618729018</v>
      </c>
    </row>
    <row r="302" spans="1:5" x14ac:dyDescent="0.25">
      <c r="A302">
        <v>299</v>
      </c>
      <c r="B302" s="4">
        <f>-PPMT('With Loan'!$D$41/12,'30% Down Amortization'!$A302,360,'With Loan'!$D$40,0,0)</f>
        <v>1044.601984699385</v>
      </c>
      <c r="C302" s="4">
        <f>-IPMT('With Loan'!$D$41/12,'30% Down Amortization'!$A302,360,'With Loan'!$D$40,0,0)</f>
        <v>222.94538943352856</v>
      </c>
      <c r="D302" s="4">
        <f t="shared" si="9"/>
        <v>1267.5473741329135</v>
      </c>
      <c r="E302" s="3">
        <f t="shared" si="10"/>
        <v>70297.92263402963</v>
      </c>
    </row>
    <row r="303" spans="1:5" x14ac:dyDescent="0.25">
      <c r="A303">
        <v>300</v>
      </c>
      <c r="B303" s="4">
        <f>-PPMT('With Loan'!$D$41/12,'30% Down Amortization'!$A303,360,'With Loan'!$D$40,0,0)</f>
        <v>1047.8663659015706</v>
      </c>
      <c r="C303" s="4">
        <f>-IPMT('With Loan'!$D$41/12,'30% Down Amortization'!$A303,360,'With Loan'!$D$40,0,0)</f>
        <v>219.68100823134293</v>
      </c>
      <c r="D303" s="4">
        <f t="shared" si="9"/>
        <v>1267.5473741329135</v>
      </c>
      <c r="E303" s="3">
        <f t="shared" si="10"/>
        <v>69250.056268128057</v>
      </c>
    </row>
    <row r="304" spans="1:5" x14ac:dyDescent="0.25">
      <c r="A304">
        <v>301</v>
      </c>
      <c r="B304" s="4">
        <f>-PPMT('With Loan'!$D$41/12,'30% Down Amortization'!$A304,360,'With Loan'!$D$40,0,0)</f>
        <v>1051.140948295013</v>
      </c>
      <c r="C304" s="4">
        <f>-IPMT('With Loan'!$D$41/12,'30% Down Amortization'!$A304,360,'With Loan'!$D$40,0,0)</f>
        <v>216.40642583790063</v>
      </c>
      <c r="D304" s="4">
        <f t="shared" si="9"/>
        <v>1267.5473741329135</v>
      </c>
      <c r="E304" s="3">
        <f t="shared" si="10"/>
        <v>68198.915319833046</v>
      </c>
    </row>
    <row r="305" spans="1:5" x14ac:dyDescent="0.25">
      <c r="A305">
        <v>302</v>
      </c>
      <c r="B305" s="4">
        <f>-PPMT('With Loan'!$D$41/12,'30% Down Amortization'!$A305,360,'With Loan'!$D$40,0,0)</f>
        <v>1054.4257637584349</v>
      </c>
      <c r="C305" s="4">
        <f>-IPMT('With Loan'!$D$41/12,'30% Down Amortization'!$A305,360,'With Loan'!$D$40,0,0)</f>
        <v>213.12161037447871</v>
      </c>
      <c r="D305" s="4">
        <f t="shared" si="9"/>
        <v>1267.5473741329135</v>
      </c>
      <c r="E305" s="3">
        <f t="shared" si="10"/>
        <v>67144.489556074608</v>
      </c>
    </row>
    <row r="306" spans="1:5" x14ac:dyDescent="0.25">
      <c r="A306">
        <v>303</v>
      </c>
      <c r="B306" s="4">
        <f>-PPMT('With Loan'!$D$41/12,'30% Down Amortization'!$A306,360,'With Loan'!$D$40,0,0)</f>
        <v>1057.7208442701801</v>
      </c>
      <c r="C306" s="4">
        <f>-IPMT('With Loan'!$D$41/12,'30% Down Amortization'!$A306,360,'With Loan'!$D$40,0,0)</f>
        <v>209.82652986273359</v>
      </c>
      <c r="D306" s="4">
        <f t="shared" si="9"/>
        <v>1267.5473741329138</v>
      </c>
      <c r="E306" s="3">
        <f t="shared" si="10"/>
        <v>66086.768711804427</v>
      </c>
    </row>
    <row r="307" spans="1:5" x14ac:dyDescent="0.25">
      <c r="A307">
        <v>304</v>
      </c>
      <c r="B307" s="4">
        <f>-PPMT('With Loan'!$D$41/12,'30% Down Amortization'!$A307,360,'With Loan'!$D$40,0,0)</f>
        <v>1061.0262219085243</v>
      </c>
      <c r="C307" s="4">
        <f>-IPMT('With Loan'!$D$41/12,'30% Down Amortization'!$A307,360,'With Loan'!$D$40,0,0)</f>
        <v>206.52115222438928</v>
      </c>
      <c r="D307" s="4">
        <f t="shared" si="9"/>
        <v>1267.5473741329135</v>
      </c>
      <c r="E307" s="3">
        <f t="shared" si="10"/>
        <v>65025.7424898959</v>
      </c>
    </row>
    <row r="308" spans="1:5" x14ac:dyDescent="0.25">
      <c r="A308">
        <v>305</v>
      </c>
      <c r="B308" s="4">
        <f>-PPMT('With Loan'!$D$41/12,'30% Down Amortization'!$A308,360,'With Loan'!$D$40,0,0)</f>
        <v>1064.3419288519885</v>
      </c>
      <c r="C308" s="4">
        <f>-IPMT('With Loan'!$D$41/12,'30% Down Amortization'!$A308,360,'With Loan'!$D$40,0,0)</f>
        <v>203.20544528092515</v>
      </c>
      <c r="D308" s="4">
        <f t="shared" si="9"/>
        <v>1267.5473741329138</v>
      </c>
      <c r="E308" s="3">
        <f t="shared" si="10"/>
        <v>63961.400561043913</v>
      </c>
    </row>
    <row r="309" spans="1:5" x14ac:dyDescent="0.25">
      <c r="A309">
        <v>306</v>
      </c>
      <c r="B309" s="4">
        <f>-PPMT('With Loan'!$D$41/12,'30% Down Amortization'!$A309,360,'With Loan'!$D$40,0,0)</f>
        <v>1067.6679973796508</v>
      </c>
      <c r="C309" s="4">
        <f>-IPMT('With Loan'!$D$41/12,'30% Down Amortization'!$A309,360,'With Loan'!$D$40,0,0)</f>
        <v>199.87937675326268</v>
      </c>
      <c r="D309" s="4">
        <f t="shared" si="9"/>
        <v>1267.5473741329135</v>
      </c>
      <c r="E309" s="3">
        <f t="shared" si="10"/>
        <v>62893.732563664264</v>
      </c>
    </row>
    <row r="310" spans="1:5" x14ac:dyDescent="0.25">
      <c r="A310">
        <v>307</v>
      </c>
      <c r="B310" s="4">
        <f>-PPMT('With Loan'!$D$41/12,'30% Down Amortization'!$A310,360,'With Loan'!$D$40,0,0)</f>
        <v>1071.0044598714624</v>
      </c>
      <c r="C310" s="4">
        <f>-IPMT('With Loan'!$D$41/12,'30% Down Amortization'!$A310,360,'With Loan'!$D$40,0,0)</f>
        <v>196.54291426145127</v>
      </c>
      <c r="D310" s="4">
        <f t="shared" si="9"/>
        <v>1267.5473741329135</v>
      </c>
      <c r="E310" s="3">
        <f t="shared" si="10"/>
        <v>61822.728103792804</v>
      </c>
    </row>
    <row r="311" spans="1:5" x14ac:dyDescent="0.25">
      <c r="A311">
        <v>308</v>
      </c>
      <c r="B311" s="4">
        <f>-PPMT('With Loan'!$D$41/12,'30% Down Amortization'!$A311,360,'With Loan'!$D$40,0,0)</f>
        <v>1074.3513488085607</v>
      </c>
      <c r="C311" s="4">
        <f>-IPMT('With Loan'!$D$41/12,'30% Down Amortization'!$A311,360,'With Loan'!$D$40,0,0)</f>
        <v>193.19602532435292</v>
      </c>
      <c r="D311" s="4">
        <f t="shared" si="9"/>
        <v>1267.5473741329135</v>
      </c>
      <c r="E311" s="3">
        <f t="shared" si="10"/>
        <v>60748.376754984245</v>
      </c>
    </row>
    <row r="312" spans="1:5" x14ac:dyDescent="0.25">
      <c r="A312">
        <v>309</v>
      </c>
      <c r="B312" s="4">
        <f>-PPMT('With Loan'!$D$41/12,'30% Down Amortization'!$A312,360,'With Loan'!$D$40,0,0)</f>
        <v>1077.7086967735875</v>
      </c>
      <c r="C312" s="4">
        <f>-IPMT('With Loan'!$D$41/12,'30% Down Amortization'!$A312,360,'With Loan'!$D$40,0,0)</f>
        <v>189.83867735932617</v>
      </c>
      <c r="D312" s="4">
        <f t="shared" si="9"/>
        <v>1267.5473741329135</v>
      </c>
      <c r="E312" s="3">
        <f t="shared" si="10"/>
        <v>59670.668058210656</v>
      </c>
    </row>
    <row r="313" spans="1:5" x14ac:dyDescent="0.25">
      <c r="A313">
        <v>310</v>
      </c>
      <c r="B313" s="4">
        <f>-PPMT('With Loan'!$D$41/12,'30% Down Amortization'!$A313,360,'With Loan'!$D$40,0,0)</f>
        <v>1081.0765364510048</v>
      </c>
      <c r="C313" s="4">
        <f>-IPMT('With Loan'!$D$41/12,'30% Down Amortization'!$A313,360,'With Loan'!$D$40,0,0)</f>
        <v>186.47083768190871</v>
      </c>
      <c r="D313" s="4">
        <f t="shared" si="9"/>
        <v>1267.5473741329135</v>
      </c>
      <c r="E313" s="3">
        <f t="shared" si="10"/>
        <v>58589.591521759648</v>
      </c>
    </row>
    <row r="314" spans="1:5" x14ac:dyDescent="0.25">
      <c r="A314">
        <v>311</v>
      </c>
      <c r="B314" s="4">
        <f>-PPMT('With Loan'!$D$41/12,'30% Down Amortization'!$A314,360,'With Loan'!$D$40,0,0)</f>
        <v>1084.4549006274142</v>
      </c>
      <c r="C314" s="4">
        <f>-IPMT('With Loan'!$D$41/12,'30% Down Amortization'!$A314,360,'With Loan'!$D$40,0,0)</f>
        <v>183.0924735054993</v>
      </c>
      <c r="D314" s="4">
        <f t="shared" si="9"/>
        <v>1267.5473741329135</v>
      </c>
      <c r="E314" s="3">
        <f t="shared" si="10"/>
        <v>57505.136621132231</v>
      </c>
    </row>
    <row r="315" spans="1:5" x14ac:dyDescent="0.25">
      <c r="A315">
        <v>312</v>
      </c>
      <c r="B315" s="4">
        <f>-PPMT('With Loan'!$D$41/12,'30% Down Amortization'!$A315,360,'With Loan'!$D$40,0,0)</f>
        <v>1087.843822191875</v>
      </c>
      <c r="C315" s="4">
        <f>-IPMT('With Loan'!$D$41/12,'30% Down Amortization'!$A315,360,'With Loan'!$D$40,0,0)</f>
        <v>179.70355194103863</v>
      </c>
      <c r="D315" s="4">
        <f t="shared" si="9"/>
        <v>1267.5473741329135</v>
      </c>
      <c r="E315" s="3">
        <f t="shared" si="10"/>
        <v>56417.292798940354</v>
      </c>
    </row>
    <row r="316" spans="1:5" x14ac:dyDescent="0.25">
      <c r="A316">
        <v>313</v>
      </c>
      <c r="B316" s="4">
        <f>-PPMT('With Loan'!$D$41/12,'30% Down Amortization'!$A316,360,'With Loan'!$D$40,0,0)</f>
        <v>1091.2433341362246</v>
      </c>
      <c r="C316" s="4">
        <f>-IPMT('With Loan'!$D$41/12,'30% Down Amortization'!$A316,360,'With Loan'!$D$40,0,0)</f>
        <v>176.30403999668906</v>
      </c>
      <c r="D316" s="4">
        <f t="shared" si="9"/>
        <v>1267.5473741329135</v>
      </c>
      <c r="E316" s="3">
        <f t="shared" si="10"/>
        <v>55326.049464804128</v>
      </c>
    </row>
    <row r="317" spans="1:5" x14ac:dyDescent="0.25">
      <c r="A317">
        <v>314</v>
      </c>
      <c r="B317" s="4">
        <f>-PPMT('With Loan'!$D$41/12,'30% Down Amortization'!$A317,360,'With Loan'!$D$40,0,0)</f>
        <v>1094.6534695554001</v>
      </c>
      <c r="C317" s="4">
        <f>-IPMT('With Loan'!$D$41/12,'30% Down Amortization'!$A317,360,'With Loan'!$D$40,0,0)</f>
        <v>172.89390457751333</v>
      </c>
      <c r="D317" s="4">
        <f t="shared" si="9"/>
        <v>1267.5473741329133</v>
      </c>
      <c r="E317" s="3">
        <f t="shared" si="10"/>
        <v>54231.395995248728</v>
      </c>
    </row>
    <row r="318" spans="1:5" x14ac:dyDescent="0.25">
      <c r="A318">
        <v>315</v>
      </c>
      <c r="B318" s="4">
        <f>-PPMT('With Loan'!$D$41/12,'30% Down Amortization'!$A318,360,'With Loan'!$D$40,0,0)</f>
        <v>1098.074261647761</v>
      </c>
      <c r="C318" s="4">
        <f>-IPMT('With Loan'!$D$41/12,'30% Down Amortization'!$A318,360,'With Loan'!$D$40,0,0)</f>
        <v>169.47311248515274</v>
      </c>
      <c r="D318" s="4">
        <f t="shared" si="9"/>
        <v>1267.5473741329138</v>
      </c>
      <c r="E318" s="3">
        <f t="shared" si="10"/>
        <v>53133.321733600969</v>
      </c>
    </row>
    <row r="319" spans="1:5" x14ac:dyDescent="0.25">
      <c r="A319">
        <v>316</v>
      </c>
      <c r="B319" s="4">
        <f>-PPMT('With Loan'!$D$41/12,'30% Down Amortization'!$A319,360,'With Loan'!$D$40,0,0)</f>
        <v>1101.5057437154101</v>
      </c>
      <c r="C319" s="4">
        <f>-IPMT('With Loan'!$D$41/12,'30% Down Amortization'!$A319,360,'With Loan'!$D$40,0,0)</f>
        <v>166.04163041750346</v>
      </c>
      <c r="D319" s="4">
        <f t="shared" si="9"/>
        <v>1267.5473741329135</v>
      </c>
      <c r="E319" s="3">
        <f t="shared" si="10"/>
        <v>52031.815989885559</v>
      </c>
    </row>
    <row r="320" spans="1:5" x14ac:dyDescent="0.25">
      <c r="A320">
        <v>317</v>
      </c>
      <c r="B320" s="4">
        <f>-PPMT('With Loan'!$D$41/12,'30% Down Amortization'!$A320,360,'With Loan'!$D$40,0,0)</f>
        <v>1104.9479491645207</v>
      </c>
      <c r="C320" s="4">
        <f>-IPMT('With Loan'!$D$41/12,'30% Down Amortization'!$A320,360,'With Loan'!$D$40,0,0)</f>
        <v>162.59942496839284</v>
      </c>
      <c r="D320" s="4">
        <f t="shared" si="9"/>
        <v>1267.5473741329135</v>
      </c>
      <c r="E320" s="3">
        <f t="shared" si="10"/>
        <v>50926.868040721041</v>
      </c>
    </row>
    <row r="321" spans="1:5" x14ac:dyDescent="0.25">
      <c r="A321">
        <v>318</v>
      </c>
      <c r="B321" s="4">
        <f>-PPMT('With Loan'!$D$41/12,'30% Down Amortization'!$A321,360,'With Loan'!$D$40,0,0)</f>
        <v>1108.4009115056599</v>
      </c>
      <c r="C321" s="4">
        <f>-IPMT('With Loan'!$D$41/12,'30% Down Amortization'!$A321,360,'With Loan'!$D$40,0,0)</f>
        <v>159.14646262725367</v>
      </c>
      <c r="D321" s="4">
        <f t="shared" si="9"/>
        <v>1267.5473741329135</v>
      </c>
      <c r="E321" s="3">
        <f t="shared" si="10"/>
        <v>49818.46712921538</v>
      </c>
    </row>
    <row r="322" spans="1:5" x14ac:dyDescent="0.25">
      <c r="A322">
        <v>319</v>
      </c>
      <c r="B322" s="4">
        <f>-PPMT('With Loan'!$D$41/12,'30% Down Amortization'!$A322,360,'With Loan'!$D$40,0,0)</f>
        <v>1111.8646643541151</v>
      </c>
      <c r="C322" s="4">
        <f>-IPMT('With Loan'!$D$41/12,'30% Down Amortization'!$A322,360,'With Loan'!$D$40,0,0)</f>
        <v>155.68270977879851</v>
      </c>
      <c r="D322" s="4">
        <f t="shared" si="9"/>
        <v>1267.5473741329135</v>
      </c>
      <c r="E322" s="3">
        <f t="shared" si="10"/>
        <v>48706.602464861266</v>
      </c>
    </row>
    <row r="323" spans="1:5" x14ac:dyDescent="0.25">
      <c r="A323">
        <v>320</v>
      </c>
      <c r="B323" s="4">
        <f>-PPMT('With Loan'!$D$41/12,'30% Down Amortization'!$A323,360,'With Loan'!$D$40,0,0)</f>
        <v>1115.3392414302216</v>
      </c>
      <c r="C323" s="4">
        <f>-IPMT('With Loan'!$D$41/12,'30% Down Amortization'!$A323,360,'With Loan'!$D$40,0,0)</f>
        <v>152.2081327026919</v>
      </c>
      <c r="D323" s="4">
        <f t="shared" si="9"/>
        <v>1267.5473741329135</v>
      </c>
      <c r="E323" s="3">
        <f t="shared" si="10"/>
        <v>47591.263223431044</v>
      </c>
    </row>
    <row r="324" spans="1:5" x14ac:dyDescent="0.25">
      <c r="A324">
        <v>321</v>
      </c>
      <c r="B324" s="4">
        <f>-PPMT('With Loan'!$D$41/12,'30% Down Amortization'!$A324,360,'With Loan'!$D$40,0,0)</f>
        <v>1118.8246765596912</v>
      </c>
      <c r="C324" s="4">
        <f>-IPMT('With Loan'!$D$41/12,'30% Down Amortization'!$A324,360,'With Loan'!$D$40,0,0)</f>
        <v>148.72269757322243</v>
      </c>
      <c r="D324" s="4">
        <f t="shared" si="9"/>
        <v>1267.5473741329135</v>
      </c>
      <c r="E324" s="3">
        <f t="shared" si="10"/>
        <v>46472.438546871352</v>
      </c>
    </row>
    <row r="325" spans="1:5" x14ac:dyDescent="0.25">
      <c r="A325">
        <v>322</v>
      </c>
      <c r="B325" s="4">
        <f>-PPMT('With Loan'!$D$41/12,'30% Down Amortization'!$A325,360,'With Loan'!$D$40,0,0)</f>
        <v>1122.3210036739401</v>
      </c>
      <c r="C325" s="4">
        <f>-IPMT('With Loan'!$D$41/12,'30% Down Amortization'!$A325,360,'With Loan'!$D$40,0,0)</f>
        <v>145.22637045897341</v>
      </c>
      <c r="D325" s="4">
        <f t="shared" ref="D325:D363" si="11">B325+C325</f>
        <v>1267.5473741329135</v>
      </c>
      <c r="E325" s="3">
        <f t="shared" si="10"/>
        <v>45350.117543197412</v>
      </c>
    </row>
    <row r="326" spans="1:5" x14ac:dyDescent="0.25">
      <c r="A326">
        <v>323</v>
      </c>
      <c r="B326" s="4">
        <f>-PPMT('With Loan'!$D$41/12,'30% Down Amortization'!$A326,360,'With Loan'!$D$40,0,0)</f>
        <v>1125.8282568104212</v>
      </c>
      <c r="C326" s="4">
        <f>-IPMT('With Loan'!$D$41/12,'30% Down Amortization'!$A326,360,'With Loan'!$D$40,0,0)</f>
        <v>141.71911732249234</v>
      </c>
      <c r="D326" s="4">
        <f t="shared" si="11"/>
        <v>1267.5473741329135</v>
      </c>
      <c r="E326" s="3">
        <f t="shared" si="10"/>
        <v>44224.289286386993</v>
      </c>
    </row>
    <row r="327" spans="1:5" x14ac:dyDescent="0.25">
      <c r="A327">
        <v>324</v>
      </c>
      <c r="B327" s="4">
        <f>-PPMT('With Loan'!$D$41/12,'30% Down Amortization'!$A327,360,'With Loan'!$D$40,0,0)</f>
        <v>1129.3464701129537</v>
      </c>
      <c r="C327" s="4">
        <f>-IPMT('With Loan'!$D$41/12,'30% Down Amortization'!$A327,360,'With Loan'!$D$40,0,0)</f>
        <v>138.20090401995978</v>
      </c>
      <c r="D327" s="4">
        <f t="shared" si="11"/>
        <v>1267.5473741329135</v>
      </c>
      <c r="E327" s="3">
        <f t="shared" si="10"/>
        <v>43094.942816274037</v>
      </c>
    </row>
    <row r="328" spans="1:5" x14ac:dyDescent="0.25">
      <c r="A328">
        <v>325</v>
      </c>
      <c r="B328" s="4">
        <f>-PPMT('With Loan'!$D$41/12,'30% Down Amortization'!$A328,360,'With Loan'!$D$40,0,0)</f>
        <v>1132.8756778320567</v>
      </c>
      <c r="C328" s="4">
        <f>-IPMT('With Loan'!$D$41/12,'30% Down Amortization'!$A328,360,'With Loan'!$D$40,0,0)</f>
        <v>134.67169630085681</v>
      </c>
      <c r="D328" s="4">
        <f t="shared" si="11"/>
        <v>1267.5473741329135</v>
      </c>
      <c r="E328" s="3">
        <f t="shared" si="10"/>
        <v>41962.067138441984</v>
      </c>
    </row>
    <row r="329" spans="1:5" x14ac:dyDescent="0.25">
      <c r="A329">
        <v>326</v>
      </c>
      <c r="B329" s="4">
        <f>-PPMT('With Loan'!$D$41/12,'30% Down Amortization'!$A329,360,'With Loan'!$D$40,0,0)</f>
        <v>1136.4159143252818</v>
      </c>
      <c r="C329" s="4">
        <f>-IPMT('With Loan'!$D$41/12,'30% Down Amortization'!$A329,360,'With Loan'!$D$40,0,0)</f>
        <v>131.13145980763161</v>
      </c>
      <c r="D329" s="4">
        <f t="shared" si="11"/>
        <v>1267.5473741329135</v>
      </c>
      <c r="E329" s="3">
        <f t="shared" si="10"/>
        <v>40825.6512241167</v>
      </c>
    </row>
    <row r="330" spans="1:5" x14ac:dyDescent="0.25">
      <c r="A330">
        <v>327</v>
      </c>
      <c r="B330" s="4">
        <f>-PPMT('With Loan'!$D$41/12,'30% Down Amortization'!$A330,360,'With Loan'!$D$40,0,0)</f>
        <v>1139.9672140575485</v>
      </c>
      <c r="C330" s="4">
        <f>-IPMT('With Loan'!$D$41/12,'30% Down Amortization'!$A330,360,'With Loan'!$D$40,0,0)</f>
        <v>127.58016007536511</v>
      </c>
      <c r="D330" s="4">
        <f t="shared" si="11"/>
        <v>1267.5473741329135</v>
      </c>
      <c r="E330" s="3">
        <f t="shared" si="10"/>
        <v>39685.684010059151</v>
      </c>
    </row>
    <row r="331" spans="1:5" x14ac:dyDescent="0.25">
      <c r="A331">
        <v>328</v>
      </c>
      <c r="B331" s="4">
        <f>-PPMT('With Loan'!$D$41/12,'30% Down Amortization'!$A331,360,'With Loan'!$D$40,0,0)</f>
        <v>1143.5296116014783</v>
      </c>
      <c r="C331" s="4">
        <f>-IPMT('With Loan'!$D$41/12,'30% Down Amortization'!$A331,360,'With Loan'!$D$40,0,0)</f>
        <v>124.0177625314353</v>
      </c>
      <c r="D331" s="4">
        <f t="shared" si="11"/>
        <v>1267.5473741329135</v>
      </c>
      <c r="E331" s="3">
        <f t="shared" si="10"/>
        <v>38542.154398457671</v>
      </c>
    </row>
    <row r="332" spans="1:5" x14ac:dyDescent="0.25">
      <c r="A332">
        <v>329</v>
      </c>
      <c r="B332" s="4">
        <f>-PPMT('With Loan'!$D$41/12,'30% Down Amortization'!$A332,360,'With Loan'!$D$40,0,0)</f>
        <v>1147.103141637733</v>
      </c>
      <c r="C332" s="4">
        <f>-IPMT('With Loan'!$D$41/12,'30% Down Amortization'!$A332,360,'With Loan'!$D$40,0,0)</f>
        <v>120.44423249518067</v>
      </c>
      <c r="D332" s="4">
        <f t="shared" si="11"/>
        <v>1267.5473741329135</v>
      </c>
      <c r="E332" s="3">
        <f t="shared" si="10"/>
        <v>37395.051256819941</v>
      </c>
    </row>
    <row r="333" spans="1:5" x14ac:dyDescent="0.25">
      <c r="A333">
        <v>330</v>
      </c>
      <c r="B333" s="4">
        <f>-PPMT('With Loan'!$D$41/12,'30% Down Amortization'!$A333,360,'With Loan'!$D$40,0,0)</f>
        <v>1150.6878389553508</v>
      </c>
      <c r="C333" s="4">
        <f>-IPMT('With Loan'!$D$41/12,'30% Down Amortization'!$A333,360,'With Loan'!$D$40,0,0)</f>
        <v>116.85953517756273</v>
      </c>
      <c r="D333" s="4">
        <f t="shared" si="11"/>
        <v>1267.5473741329135</v>
      </c>
      <c r="E333" s="3">
        <f t="shared" si="10"/>
        <v>36244.363417864588</v>
      </c>
    </row>
    <row r="334" spans="1:5" x14ac:dyDescent="0.25">
      <c r="A334">
        <v>331</v>
      </c>
      <c r="B334" s="4">
        <f>-PPMT('With Loan'!$D$41/12,'30% Down Amortization'!$A334,360,'With Loan'!$D$40,0,0)</f>
        <v>1154.2837384520863</v>
      </c>
      <c r="C334" s="4">
        <f>-IPMT('With Loan'!$D$41/12,'30% Down Amortization'!$A334,360,'With Loan'!$D$40,0,0)</f>
        <v>113.26363568082728</v>
      </c>
      <c r="D334" s="4">
        <f t="shared" si="11"/>
        <v>1267.5473741329135</v>
      </c>
      <c r="E334" s="3">
        <f t="shared" si="10"/>
        <v>35090.079679412505</v>
      </c>
    </row>
    <row r="335" spans="1:5" x14ac:dyDescent="0.25">
      <c r="A335">
        <v>332</v>
      </c>
      <c r="B335" s="4">
        <f>-PPMT('With Loan'!$D$41/12,'30% Down Amortization'!$A335,360,'With Loan'!$D$40,0,0)</f>
        <v>1157.890875134749</v>
      </c>
      <c r="C335" s="4">
        <f>-IPMT('With Loan'!$D$41/12,'30% Down Amortization'!$A335,360,'With Loan'!$D$40,0,0)</f>
        <v>109.65649899816448</v>
      </c>
      <c r="D335" s="4">
        <f t="shared" si="11"/>
        <v>1267.5473741329135</v>
      </c>
      <c r="E335" s="3">
        <f t="shared" si="10"/>
        <v>33932.188804277757</v>
      </c>
    </row>
    <row r="336" spans="1:5" x14ac:dyDescent="0.25">
      <c r="A336">
        <v>333</v>
      </c>
      <c r="B336" s="4">
        <f>-PPMT('With Loan'!$D$41/12,'30% Down Amortization'!$A336,360,'With Loan'!$D$40,0,0)</f>
        <v>1161.5092841195453</v>
      </c>
      <c r="C336" s="4">
        <f>-IPMT('With Loan'!$D$41/12,'30% Down Amortization'!$A336,360,'With Loan'!$D$40,0,0)</f>
        <v>106.03809001336842</v>
      </c>
      <c r="D336" s="4">
        <f t="shared" si="11"/>
        <v>1267.5473741329138</v>
      </c>
      <c r="E336" s="3">
        <f t="shared" si="10"/>
        <v>32770.679520158214</v>
      </c>
    </row>
    <row r="337" spans="1:5" x14ac:dyDescent="0.25">
      <c r="A337">
        <v>334</v>
      </c>
      <c r="B337" s="4">
        <f>-PPMT('With Loan'!$D$41/12,'30% Down Amortization'!$A337,360,'With Loan'!$D$40,0,0)</f>
        <v>1165.1390006324189</v>
      </c>
      <c r="C337" s="4">
        <f>-IPMT('With Loan'!$D$41/12,'30% Down Amortization'!$A337,360,'With Loan'!$D$40,0,0)</f>
        <v>102.40837350049485</v>
      </c>
      <c r="D337" s="4">
        <f t="shared" si="11"/>
        <v>1267.5473741329138</v>
      </c>
      <c r="E337" s="3">
        <f t="shared" si="10"/>
        <v>31605.540519525795</v>
      </c>
    </row>
    <row r="338" spans="1:5" x14ac:dyDescent="0.25">
      <c r="A338">
        <v>335</v>
      </c>
      <c r="B338" s="4">
        <f>-PPMT('With Loan'!$D$41/12,'30% Down Amortization'!$A338,360,'With Loan'!$D$40,0,0)</f>
        <v>1168.7800600093951</v>
      </c>
      <c r="C338" s="4">
        <f>-IPMT('With Loan'!$D$41/12,'30% Down Amortization'!$A338,360,'With Loan'!$D$40,0,0)</f>
        <v>98.767314123518517</v>
      </c>
      <c r="D338" s="4">
        <f t="shared" si="11"/>
        <v>1267.5473741329135</v>
      </c>
      <c r="E338" s="3">
        <f t="shared" si="10"/>
        <v>30436.760459516401</v>
      </c>
    </row>
    <row r="339" spans="1:5" x14ac:dyDescent="0.25">
      <c r="A339">
        <v>336</v>
      </c>
      <c r="B339" s="4">
        <f>-PPMT('With Loan'!$D$41/12,'30% Down Amortization'!$A339,360,'With Loan'!$D$40,0,0)</f>
        <v>1172.4324976969244</v>
      </c>
      <c r="C339" s="4">
        <f>-IPMT('With Loan'!$D$41/12,'30% Down Amortization'!$A339,360,'With Loan'!$D$40,0,0)</f>
        <v>95.11487643598916</v>
      </c>
      <c r="D339" s="4">
        <f t="shared" si="11"/>
        <v>1267.5473741329135</v>
      </c>
      <c r="E339" s="3">
        <f t="shared" si="10"/>
        <v>29264.327961819476</v>
      </c>
    </row>
    <row r="340" spans="1:5" x14ac:dyDescent="0.25">
      <c r="A340">
        <v>337</v>
      </c>
      <c r="B340" s="4">
        <f>-PPMT('With Loan'!$D$41/12,'30% Down Amortization'!$A340,360,'With Loan'!$D$40,0,0)</f>
        <v>1176.0963492522271</v>
      </c>
      <c r="C340" s="4">
        <f>-IPMT('With Loan'!$D$41/12,'30% Down Amortization'!$A340,360,'With Loan'!$D$40,0,0)</f>
        <v>91.451024880686276</v>
      </c>
      <c r="D340" s="4">
        <f t="shared" si="11"/>
        <v>1267.5473741329133</v>
      </c>
      <c r="E340" s="3">
        <f t="shared" si="10"/>
        <v>28088.231612567248</v>
      </c>
    </row>
    <row r="341" spans="1:5" x14ac:dyDescent="0.25">
      <c r="A341">
        <v>338</v>
      </c>
      <c r="B341" s="4">
        <f>-PPMT('With Loan'!$D$41/12,'30% Down Amortization'!$A341,360,'With Loan'!$D$40,0,0)</f>
        <v>1179.7716503436404</v>
      </c>
      <c r="C341" s="4">
        <f>-IPMT('With Loan'!$D$41/12,'30% Down Amortization'!$A341,360,'With Loan'!$D$40,0,0)</f>
        <v>87.775723789273059</v>
      </c>
      <c r="D341" s="4">
        <f t="shared" si="11"/>
        <v>1267.5473741329135</v>
      </c>
      <c r="E341" s="3">
        <f t="shared" si="10"/>
        <v>26908.459962223606</v>
      </c>
    </row>
    <row r="342" spans="1:5" x14ac:dyDescent="0.25">
      <c r="A342">
        <v>339</v>
      </c>
      <c r="B342" s="4">
        <f>-PPMT('With Loan'!$D$41/12,'30% Down Amortization'!$A342,360,'With Loan'!$D$40,0,0)</f>
        <v>1183.4584367509642</v>
      </c>
      <c r="C342" s="4">
        <f>-IPMT('With Loan'!$D$41/12,'30% Down Amortization'!$A342,360,'With Loan'!$D$40,0,0)</f>
        <v>84.088937381949194</v>
      </c>
      <c r="D342" s="4">
        <f t="shared" si="11"/>
        <v>1267.5473741329133</v>
      </c>
      <c r="E342" s="3">
        <f t="shared" si="10"/>
        <v>25725.001525472642</v>
      </c>
    </row>
    <row r="343" spans="1:5" x14ac:dyDescent="0.25">
      <c r="A343">
        <v>340</v>
      </c>
      <c r="B343" s="4">
        <f>-PPMT('With Loan'!$D$41/12,'30% Down Amortization'!$A343,360,'With Loan'!$D$40,0,0)</f>
        <v>1187.1567443658112</v>
      </c>
      <c r="C343" s="4">
        <f>-IPMT('With Loan'!$D$41/12,'30% Down Amortization'!$A343,360,'With Loan'!$D$40,0,0)</f>
        <v>80.390629767102439</v>
      </c>
      <c r="D343" s="4">
        <f t="shared" si="11"/>
        <v>1267.5473741329135</v>
      </c>
      <c r="E343" s="3">
        <f t="shared" si="10"/>
        <v>24537.844781106833</v>
      </c>
    </row>
    <row r="344" spans="1:5" x14ac:dyDescent="0.25">
      <c r="A344">
        <v>341</v>
      </c>
      <c r="B344" s="4">
        <f>-PPMT('With Loan'!$D$41/12,'30% Down Amortization'!$A344,360,'With Loan'!$D$40,0,0)</f>
        <v>1190.8666091919542</v>
      </c>
      <c r="C344" s="4">
        <f>-IPMT('With Loan'!$D$41/12,'30% Down Amortization'!$A344,360,'With Loan'!$D$40,0,0)</f>
        <v>76.680764940959264</v>
      </c>
      <c r="D344" s="4">
        <f t="shared" si="11"/>
        <v>1267.5473741329135</v>
      </c>
      <c r="E344" s="3">
        <f t="shared" si="10"/>
        <v>23346.978171914878</v>
      </c>
    </row>
    <row r="345" spans="1:5" x14ac:dyDescent="0.25">
      <c r="A345">
        <v>342</v>
      </c>
      <c r="B345" s="4">
        <f>-PPMT('With Loan'!$D$41/12,'30% Down Amortization'!$A345,360,'With Loan'!$D$40,0,0)</f>
        <v>1194.5880673456791</v>
      </c>
      <c r="C345" s="4">
        <f>-IPMT('With Loan'!$D$41/12,'30% Down Amortization'!$A345,360,'With Loan'!$D$40,0,0)</f>
        <v>72.959306787234411</v>
      </c>
      <c r="D345" s="4">
        <f t="shared" si="11"/>
        <v>1267.5473741329135</v>
      </c>
      <c r="E345" s="3">
        <f t="shared" si="10"/>
        <v>22152.3901045692</v>
      </c>
    </row>
    <row r="346" spans="1:5" x14ac:dyDescent="0.25">
      <c r="A346">
        <v>343</v>
      </c>
      <c r="B346" s="4">
        <f>-PPMT('With Loan'!$D$41/12,'30% Down Amortization'!$A346,360,'With Loan'!$D$40,0,0)</f>
        <v>1198.3211550561346</v>
      </c>
      <c r="C346" s="4">
        <f>-IPMT('With Loan'!$D$41/12,'30% Down Amortization'!$A346,360,'With Loan'!$D$40,0,0)</f>
        <v>69.226219076779159</v>
      </c>
      <c r="D346" s="4">
        <f t="shared" si="11"/>
        <v>1267.5473741329138</v>
      </c>
      <c r="E346" s="3">
        <f t="shared" si="10"/>
        <v>20954.068949513065</v>
      </c>
    </row>
    <row r="347" spans="1:5" x14ac:dyDescent="0.25">
      <c r="A347">
        <v>344</v>
      </c>
      <c r="B347" s="4">
        <f>-PPMT('With Loan'!$D$41/12,'30% Down Amortization'!$A347,360,'With Loan'!$D$40,0,0)</f>
        <v>1202.0659086656849</v>
      </c>
      <c r="C347" s="4">
        <f>-IPMT('With Loan'!$D$41/12,'30% Down Amortization'!$A347,360,'With Loan'!$D$40,0,0)</f>
        <v>65.48146546722873</v>
      </c>
      <c r="D347" s="4">
        <f t="shared" si="11"/>
        <v>1267.5473741329135</v>
      </c>
      <c r="E347" s="3">
        <f t="shared" si="10"/>
        <v>19752.003040847379</v>
      </c>
    </row>
    <row r="348" spans="1:5" x14ac:dyDescent="0.25">
      <c r="A348">
        <v>345</v>
      </c>
      <c r="B348" s="4">
        <f>-PPMT('With Loan'!$D$41/12,'30% Down Amortization'!$A348,360,'With Loan'!$D$40,0,0)</f>
        <v>1205.8223646302649</v>
      </c>
      <c r="C348" s="4">
        <f>-IPMT('With Loan'!$D$41/12,'30% Down Amortization'!$A348,360,'With Loan'!$D$40,0,0)</f>
        <v>61.725009502648476</v>
      </c>
      <c r="D348" s="4">
        <f t="shared" si="11"/>
        <v>1267.5473741329133</v>
      </c>
      <c r="E348" s="3">
        <f t="shared" si="10"/>
        <v>18546.180676217115</v>
      </c>
    </row>
    <row r="349" spans="1:5" x14ac:dyDescent="0.25">
      <c r="A349">
        <v>346</v>
      </c>
      <c r="B349" s="4">
        <f>-PPMT('With Loan'!$D$41/12,'30% Down Amortization'!$A349,360,'With Loan'!$D$40,0,0)</f>
        <v>1209.5905595197346</v>
      </c>
      <c r="C349" s="4">
        <f>-IPMT('With Loan'!$D$41/12,'30% Down Amortization'!$A349,360,'With Loan'!$D$40,0,0)</f>
        <v>57.956814613178899</v>
      </c>
      <c r="D349" s="4">
        <f t="shared" si="11"/>
        <v>1267.5473741329135</v>
      </c>
      <c r="E349" s="3">
        <f t="shared" si="10"/>
        <v>17336.590116697378</v>
      </c>
    </row>
    <row r="350" spans="1:5" x14ac:dyDescent="0.25">
      <c r="A350">
        <v>347</v>
      </c>
      <c r="B350" s="4">
        <f>-PPMT('With Loan'!$D$41/12,'30% Down Amortization'!$A350,360,'With Loan'!$D$40,0,0)</f>
        <v>1213.3705300182339</v>
      </c>
      <c r="C350" s="4">
        <f>-IPMT('With Loan'!$D$41/12,'30% Down Amortization'!$A350,360,'With Loan'!$D$40,0,0)</f>
        <v>54.176844114679731</v>
      </c>
      <c r="D350" s="4">
        <f t="shared" si="11"/>
        <v>1267.5473741329135</v>
      </c>
      <c r="E350" s="3">
        <f t="shared" si="10"/>
        <v>16123.219586679144</v>
      </c>
    </row>
    <row r="351" spans="1:5" x14ac:dyDescent="0.25">
      <c r="A351">
        <v>348</v>
      </c>
      <c r="B351" s="4">
        <f>-PPMT('With Loan'!$D$41/12,'30% Down Amortization'!$A351,360,'With Loan'!$D$40,0,0)</f>
        <v>1217.1623129245409</v>
      </c>
      <c r="C351" s="4">
        <f>-IPMT('With Loan'!$D$41/12,'30% Down Amortization'!$A351,360,'With Loan'!$D$40,0,0)</f>
        <v>50.385061208372754</v>
      </c>
      <c r="D351" s="4">
        <f t="shared" si="11"/>
        <v>1267.5473741329135</v>
      </c>
      <c r="E351" s="3">
        <f t="shared" si="10"/>
        <v>14906.057273754603</v>
      </c>
    </row>
    <row r="352" spans="1:5" x14ac:dyDescent="0.25">
      <c r="A352">
        <v>349</v>
      </c>
      <c r="B352" s="4">
        <f>-PPMT('With Loan'!$D$41/12,'30% Down Amortization'!$A352,360,'With Loan'!$D$40,0,0)</f>
        <v>1220.9659451524301</v>
      </c>
      <c r="C352" s="4">
        <f>-IPMT('With Loan'!$D$41/12,'30% Down Amortization'!$A352,360,'With Loan'!$D$40,0,0)</f>
        <v>46.581428980483551</v>
      </c>
      <c r="D352" s="4">
        <f t="shared" si="11"/>
        <v>1267.5473741329135</v>
      </c>
      <c r="E352" s="3">
        <f t="shared" si="10"/>
        <v>13685.091328602173</v>
      </c>
    </row>
    <row r="353" spans="1:5" x14ac:dyDescent="0.25">
      <c r="A353">
        <v>350</v>
      </c>
      <c r="B353" s="4">
        <f>-PPMT('With Loan'!$D$41/12,'30% Down Amortization'!$A353,360,'With Loan'!$D$40,0,0)</f>
        <v>1224.7814637310312</v>
      </c>
      <c r="C353" s="4">
        <f>-IPMT('With Loan'!$D$41/12,'30% Down Amortization'!$A353,360,'With Loan'!$D$40,0,0)</f>
        <v>42.765910401882216</v>
      </c>
      <c r="D353" s="4">
        <f t="shared" si="11"/>
        <v>1267.5473741329133</v>
      </c>
      <c r="E353" s="3">
        <f t="shared" si="10"/>
        <v>12460.309864871142</v>
      </c>
    </row>
    <row r="354" spans="1:5" x14ac:dyDescent="0.25">
      <c r="A354">
        <v>351</v>
      </c>
      <c r="B354" s="4">
        <f>-PPMT('With Loan'!$D$41/12,'30% Down Amortization'!$A354,360,'With Loan'!$D$40,0,0)</f>
        <v>1228.6089058051907</v>
      </c>
      <c r="C354" s="4">
        <f>-IPMT('With Loan'!$D$41/12,'30% Down Amortization'!$A354,360,'With Loan'!$D$40,0,0)</f>
        <v>38.938468327722738</v>
      </c>
      <c r="D354" s="4">
        <f t="shared" si="11"/>
        <v>1267.5473741329135</v>
      </c>
      <c r="E354" s="3">
        <f t="shared" ref="E354:E363" si="12">E353-B354</f>
        <v>11231.700959065951</v>
      </c>
    </row>
    <row r="355" spans="1:5" x14ac:dyDescent="0.25">
      <c r="A355">
        <v>352</v>
      </c>
      <c r="B355" s="4">
        <f>-PPMT('With Loan'!$D$41/12,'30% Down Amortization'!$A355,360,'With Loan'!$D$40,0,0)</f>
        <v>1232.4483086358321</v>
      </c>
      <c r="C355" s="4">
        <f>-IPMT('With Loan'!$D$41/12,'30% Down Amortization'!$A355,360,'With Loan'!$D$40,0,0)</f>
        <v>35.099065497081519</v>
      </c>
      <c r="D355" s="4">
        <f t="shared" si="11"/>
        <v>1267.5473741329135</v>
      </c>
      <c r="E355" s="3">
        <f t="shared" si="12"/>
        <v>9999.2526504301186</v>
      </c>
    </row>
    <row r="356" spans="1:5" x14ac:dyDescent="0.25">
      <c r="A356">
        <v>353</v>
      </c>
      <c r="B356" s="4">
        <f>-PPMT('With Loan'!$D$41/12,'30% Down Amortization'!$A356,360,'With Loan'!$D$40,0,0)</f>
        <v>1236.2997096003191</v>
      </c>
      <c r="C356" s="4">
        <f>-IPMT('With Loan'!$D$41/12,'30% Down Amortization'!$A356,360,'With Loan'!$D$40,0,0)</f>
        <v>31.247664532594545</v>
      </c>
      <c r="D356" s="4">
        <f t="shared" si="11"/>
        <v>1267.5473741329138</v>
      </c>
      <c r="E356" s="3">
        <f t="shared" si="12"/>
        <v>8762.9529408298004</v>
      </c>
    </row>
    <row r="357" spans="1:5" x14ac:dyDescent="0.25">
      <c r="A357">
        <v>354</v>
      </c>
      <c r="B357" s="4">
        <f>-PPMT('With Loan'!$D$41/12,'30% Down Amortization'!$A357,360,'With Loan'!$D$40,0,0)</f>
        <v>1240.16314619282</v>
      </c>
      <c r="C357" s="4">
        <f>-IPMT('With Loan'!$D$41/12,'30% Down Amortization'!$A357,360,'With Loan'!$D$40,0,0)</f>
        <v>27.384227940093545</v>
      </c>
      <c r="D357" s="4">
        <f t="shared" si="11"/>
        <v>1267.5473741329135</v>
      </c>
      <c r="E357" s="3">
        <f t="shared" si="12"/>
        <v>7522.7897946369803</v>
      </c>
    </row>
    <row r="358" spans="1:5" x14ac:dyDescent="0.25">
      <c r="A358">
        <v>355</v>
      </c>
      <c r="B358" s="4">
        <f>-PPMT('With Loan'!$D$41/12,'30% Down Amortization'!$A358,360,'With Loan'!$D$40,0,0)</f>
        <v>1244.0386560246725</v>
      </c>
      <c r="C358" s="4">
        <f>-IPMT('With Loan'!$D$41/12,'30% Down Amortization'!$A358,360,'With Loan'!$D$40,0,0)</f>
        <v>23.508718108240981</v>
      </c>
      <c r="D358" s="4">
        <f t="shared" si="11"/>
        <v>1267.5473741329135</v>
      </c>
      <c r="E358" s="3">
        <f t="shared" si="12"/>
        <v>6278.7511386123078</v>
      </c>
    </row>
    <row r="359" spans="1:5" x14ac:dyDescent="0.25">
      <c r="A359">
        <v>356</v>
      </c>
      <c r="B359" s="4">
        <f>-PPMT('With Loan'!$D$41/12,'30% Down Amortization'!$A359,360,'With Loan'!$D$40,0,0)</f>
        <v>1247.9262768247497</v>
      </c>
      <c r="C359" s="4">
        <f>-IPMT('With Loan'!$D$41/12,'30% Down Amortization'!$A359,360,'With Loan'!$D$40,0,0)</f>
        <v>19.621097308163883</v>
      </c>
      <c r="D359" s="4">
        <f t="shared" si="11"/>
        <v>1267.5473741329135</v>
      </c>
      <c r="E359" s="3">
        <f t="shared" si="12"/>
        <v>5030.8248617875579</v>
      </c>
    </row>
    <row r="360" spans="1:5" x14ac:dyDescent="0.25">
      <c r="A360">
        <v>357</v>
      </c>
      <c r="B360" s="4">
        <f>-PPMT('With Loan'!$D$41/12,'30% Down Amortization'!$A360,360,'With Loan'!$D$40,0,0)</f>
        <v>1251.826046439827</v>
      </c>
      <c r="C360" s="4">
        <f>-IPMT('With Loan'!$D$41/12,'30% Down Amortization'!$A360,360,'With Loan'!$D$40,0,0)</f>
        <v>15.72132769308654</v>
      </c>
      <c r="D360" s="4">
        <f t="shared" si="11"/>
        <v>1267.5473741329135</v>
      </c>
      <c r="E360" s="3">
        <f t="shared" si="12"/>
        <v>3778.9988153477307</v>
      </c>
    </row>
    <row r="361" spans="1:5" x14ac:dyDescent="0.25">
      <c r="A361">
        <v>358</v>
      </c>
      <c r="B361" s="4">
        <f>-PPMT('With Loan'!$D$41/12,'30% Down Amortization'!$A361,360,'With Loan'!$D$40,0,0)</f>
        <v>1255.7380028349517</v>
      </c>
      <c r="C361" s="4">
        <f>-IPMT('With Loan'!$D$41/12,'30% Down Amortization'!$A361,360,'With Loan'!$D$40,0,0)</f>
        <v>11.80937129796208</v>
      </c>
      <c r="D361" s="4">
        <f t="shared" si="11"/>
        <v>1267.5473741329138</v>
      </c>
      <c r="E361" s="3">
        <f t="shared" si="12"/>
        <v>2523.260812512779</v>
      </c>
    </row>
    <row r="362" spans="1:5" x14ac:dyDescent="0.25">
      <c r="A362">
        <v>359</v>
      </c>
      <c r="B362" s="4">
        <f>-PPMT('With Loan'!$D$41/12,'30% Down Amortization'!$A362,360,'With Loan'!$D$40,0,0)</f>
        <v>1259.6621840938108</v>
      </c>
      <c r="C362" s="4">
        <f>-IPMT('With Loan'!$D$41/12,'30% Down Amortization'!$A362,360,'With Loan'!$D$40,0,0)</f>
        <v>7.8851900391028575</v>
      </c>
      <c r="D362" s="4">
        <f t="shared" si="11"/>
        <v>1267.5473741329135</v>
      </c>
      <c r="E362" s="3">
        <f t="shared" si="12"/>
        <v>1263.5986284189682</v>
      </c>
    </row>
    <row r="363" spans="1:5" x14ac:dyDescent="0.25">
      <c r="A363">
        <v>360</v>
      </c>
      <c r="B363" s="4">
        <f>-PPMT('With Loan'!$D$41/12,'30% Down Amortization'!$A363,360,'With Loan'!$D$40,0,0)</f>
        <v>1263.598628419104</v>
      </c>
      <c r="C363" s="4">
        <f>-IPMT('With Loan'!$D$41/12,'30% Down Amortization'!$A363,360,'With Loan'!$D$40,0,0)</f>
        <v>3.9487457138096995</v>
      </c>
      <c r="D363" s="4">
        <f t="shared" si="11"/>
        <v>1267.5473741329138</v>
      </c>
      <c r="E363" s="3">
        <f t="shared" si="12"/>
        <v>-1.3574208423960954E-10</v>
      </c>
    </row>
  </sheetData>
  <sheetProtection algorithmName="SHA-512" hashValue="eN2M69IgExmqdA6292O9JyWvXwiKhotCCTGe2CZcEW4tenJhwcGGXj+CMM/W23PNLANj/hW4hlyTDtXfjHQk8g==" saltValue="0U48QsPD6q3TBM1dMinshg==" spinCount="100000" sheet="1" objects="1" scenarios="1"/>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69DB59EED59A4B9D2A41DA9F049753" ma:contentTypeVersion="18" ma:contentTypeDescription="Create a new document." ma:contentTypeScope="" ma:versionID="427896d9fba3ae73bcfd0e1792e22175">
  <xsd:schema xmlns:xsd="http://www.w3.org/2001/XMLSchema" xmlns:xs="http://www.w3.org/2001/XMLSchema" xmlns:p="http://schemas.microsoft.com/office/2006/metadata/properties" xmlns:ns2="b9c8e6ef-adaa-44cf-b33b-1c02ae1fb283" xmlns:ns3="805d0126-7d6a-4874-a9c2-f0732c30a516" targetNamespace="http://schemas.microsoft.com/office/2006/metadata/properties" ma:root="true" ma:fieldsID="4dd0f8f1fce6ed585eb5a14541ba8547" ns2:_="" ns3:_="">
    <xsd:import namespace="b9c8e6ef-adaa-44cf-b33b-1c02ae1fb283"/>
    <xsd:import namespace="805d0126-7d6a-4874-a9c2-f0732c30a5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3:SharedWithUsers" minOccurs="0"/>
                <xsd:element ref="ns3:SharedWithDetail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8e6ef-adaa-44cf-b33b-1c02ae1fb2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da262b3-c911-4d7a-9ca6-09044c850c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5d0126-7d6a-4874-a9c2-f0732c30a51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401e4632-65b1-419a-abf9-7aa14e6fdc28}" ma:internalName="TaxCatchAll" ma:showField="CatchAllData" ma:web="805d0126-7d6a-4874-a9c2-f0732c30a51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9c8e6ef-adaa-44cf-b33b-1c02ae1fb283">
      <Terms xmlns="http://schemas.microsoft.com/office/infopath/2007/PartnerControls"/>
    </lcf76f155ced4ddcb4097134ff3c332f>
    <TaxCatchAll xmlns="805d0126-7d6a-4874-a9c2-f0732c30a51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B2910A0-1CC7-418C-9428-8048FEFCA8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8e6ef-adaa-44cf-b33b-1c02ae1fb283"/>
    <ds:schemaRef ds:uri="805d0126-7d6a-4874-a9c2-f0732c30a5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32D972-31B8-466B-822A-61C798CAA031}">
  <ds:schemaRefs>
    <ds:schemaRef ds:uri="http://schemas.microsoft.com/office/2006/metadata/properties"/>
    <ds:schemaRef ds:uri="http://purl.org/dc/elements/1.1/"/>
    <ds:schemaRef ds:uri="http://purl.org/dc/dcmitype/"/>
    <ds:schemaRef ds:uri="http://schemas.openxmlformats.org/package/2006/metadata/core-properties"/>
    <ds:schemaRef ds:uri="http://purl.org/dc/terms/"/>
    <ds:schemaRef ds:uri="805d0126-7d6a-4874-a9c2-f0732c30a516"/>
    <ds:schemaRef ds:uri="http://www.w3.org/XML/1998/namespace"/>
    <ds:schemaRef ds:uri="http://schemas.microsoft.com/office/2006/documentManagement/types"/>
    <ds:schemaRef ds:uri="http://schemas.microsoft.com/office/infopath/2007/PartnerControls"/>
    <ds:schemaRef ds:uri="b9c8e6ef-adaa-44cf-b33b-1c02ae1fb283"/>
  </ds:schemaRefs>
</ds:datastoreItem>
</file>

<file path=customXml/itemProps3.xml><?xml version="1.0" encoding="utf-8"?>
<ds:datastoreItem xmlns:ds="http://schemas.openxmlformats.org/officeDocument/2006/customXml" ds:itemID="{95753417-07D2-4AAC-920E-09C8248A92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Summary</vt:lpstr>
      <vt:lpstr>All Cash</vt:lpstr>
      <vt:lpstr>With Loan</vt:lpstr>
      <vt:lpstr>Owner Occupier</vt:lpstr>
      <vt:lpstr>Closing Costs</vt:lpstr>
      <vt:lpstr>FHA Amotization</vt:lpstr>
      <vt:lpstr>DAta</vt:lpstr>
      <vt:lpstr>30% Down Amortization</vt:lpstr>
      <vt:lpstr>'All Cash'!Print_Area</vt:lpstr>
      <vt:lpstr>'Owner Occupier'!Print_Area</vt:lpstr>
      <vt:lpstr>'With Loan'!Print_Area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Flanagin</dc:creator>
  <cp:keywords/>
  <dc:description/>
  <cp:lastModifiedBy>Martin Rico</cp:lastModifiedBy>
  <cp:revision/>
  <cp:lastPrinted>2025-07-07T21:37:15Z</cp:lastPrinted>
  <dcterms:created xsi:type="dcterms:W3CDTF">2025-02-11T03:30:30Z</dcterms:created>
  <dcterms:modified xsi:type="dcterms:W3CDTF">2025-07-07T22:39:22Z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0x010100F169DB59EED59A4B9D2A41DA9F049753</vt:lpwstr>
  </property>
  <property fmtid="{D5CDD505-2E9C-101B-9397-08002B2CF9AE}" pid="3" name="MediaServiceImageTags">
    <vt:lpwstr/>
  </property>
</Properties>
</file>