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rosehavenhomesusa.sharepoint.com/sites/SalesGroup/Shared Documents/Reports/Financial Calculator/Magnolia Village North/"/>
    </mc:Choice>
  </mc:AlternateContent>
  <xr:revisionPtr revIDLastSave="82" documentId="8_{A4158E2E-C4FA-4259-B5AF-AD85AC8DF92C}" xr6:coauthVersionLast="47" xr6:coauthVersionMax="47" xr10:uidLastSave="{97B749E8-D357-4320-8360-0CAA214D6103}"/>
  <bookViews>
    <workbookView xWindow="735" yWindow="735" windowWidth="22935" windowHeight="14175" tabRatio="654" xr2:uid="{6086E9DB-5E13-46D6-AE57-AADA5638DA8C}"/>
  </bookViews>
  <sheets>
    <sheet name="Summary" sheetId="12" r:id="rId1"/>
    <sheet name="All Cash" sheetId="8" r:id="rId2"/>
    <sheet name="With Loan" sheetId="6" r:id="rId3"/>
    <sheet name="Owner Occupier" sheetId="10" r:id="rId4"/>
    <sheet name="Closing Costs" sheetId="3" state="hidden" r:id="rId5"/>
    <sheet name="FHA Amotization" sheetId="11" state="hidden" r:id="rId6"/>
    <sheet name="DAta" sheetId="2" state="hidden" r:id="rId7"/>
    <sheet name="30% Down Amortization" sheetId="4" state="hidden" r:id="rId8"/>
  </sheets>
  <definedNames>
    <definedName name="_xlnm._FilterDatabase" localSheetId="7" hidden="1">'30% Down Amortization'!#REF!</definedName>
    <definedName name="_xlnm._FilterDatabase" localSheetId="5" hidden="1">'FHA Amotization'!#REF!</definedName>
    <definedName name="_xlnm.Print_Area" localSheetId="1">'All Cash'!$B$1:$I$59</definedName>
    <definedName name="_xlnm.Print_Area" localSheetId="3">'Owner Occupier'!$B$1:$I$60</definedName>
    <definedName name="_xlnm.Print_Area" localSheetId="2">'With Loan'!$B$1:$I$59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2" l="1"/>
  <c r="C35" i="6" l="1"/>
  <c r="H31" i="8"/>
  <c r="Q35" i="8" s="1"/>
  <c r="H30" i="10"/>
  <c r="Q35" i="10" s="1"/>
  <c r="E35" i="12"/>
  <c r="E36" i="12" s="1"/>
  <c r="D35" i="12"/>
  <c r="D36" i="12" s="1"/>
  <c r="C35" i="12"/>
  <c r="C33" i="12"/>
  <c r="D34" i="10"/>
  <c r="I41" i="10" s="1"/>
  <c r="H31" i="10"/>
  <c r="G32" i="10" s="1"/>
  <c r="H24" i="10"/>
  <c r="D55" i="10" s="1"/>
  <c r="E55" i="10" s="1"/>
  <c r="D41" i="10"/>
  <c r="C35" i="10"/>
  <c r="D24" i="10"/>
  <c r="H32" i="6"/>
  <c r="G33" i="6" s="1"/>
  <c r="H31" i="6"/>
  <c r="H24" i="6"/>
  <c r="H25" i="6" s="1"/>
  <c r="D41" i="6"/>
  <c r="D34" i="6"/>
  <c r="D46" i="6" s="1"/>
  <c r="H32" i="8"/>
  <c r="H24" i="8"/>
  <c r="I24" i="8" s="1"/>
  <c r="D34" i="8"/>
  <c r="I47" i="8" s="1"/>
  <c r="D51" i="10"/>
  <c r="E51" i="10" s="1"/>
  <c r="E48" i="10"/>
  <c r="D42" i="8"/>
  <c r="E42" i="8" s="1"/>
  <c r="E41" i="8"/>
  <c r="Y17" i="6" l="1"/>
  <c r="Y35" i="6"/>
  <c r="Y33" i="6"/>
  <c r="Y16" i="6"/>
  <c r="Y7" i="6"/>
  <c r="Y18" i="6"/>
  <c r="Y34" i="6"/>
  <c r="Y32" i="6"/>
  <c r="Y15" i="6"/>
  <c r="Y23" i="6"/>
  <c r="Y31" i="6"/>
  <c r="Y14" i="6"/>
  <c r="Y24" i="6"/>
  <c r="Y22" i="6"/>
  <c r="Y19" i="6"/>
  <c r="Y30" i="6"/>
  <c r="Y13" i="6"/>
  <c r="Y29" i="6"/>
  <c r="Y12" i="6"/>
  <c r="Y20" i="6"/>
  <c r="Y28" i="6"/>
  <c r="Y10" i="6"/>
  <c r="Y26" i="6"/>
  <c r="Y9" i="6"/>
  <c r="Y36" i="6"/>
  <c r="Y11" i="6"/>
  <c r="Y27" i="6"/>
  <c r="Y25" i="6"/>
  <c r="Y8" i="6"/>
  <c r="D53" i="10"/>
  <c r="E53" i="10" s="1"/>
  <c r="D46" i="10"/>
  <c r="E46" i="10" s="1"/>
  <c r="Z23" i="6"/>
  <c r="Z24" i="6"/>
  <c r="Z25" i="6"/>
  <c r="Z35" i="6"/>
  <c r="Z26" i="6"/>
  <c r="Z27" i="6"/>
  <c r="Z28" i="6"/>
  <c r="Z29" i="6"/>
  <c r="Z30" i="6"/>
  <c r="Z31" i="6"/>
  <c r="Z22" i="6"/>
  <c r="Z32" i="6"/>
  <c r="Z33" i="6"/>
  <c r="Z34" i="6"/>
  <c r="Z36" i="6"/>
  <c r="Z31" i="8"/>
  <c r="Z30" i="8"/>
  <c r="Z29" i="8"/>
  <c r="Z28" i="8"/>
  <c r="Z27" i="8"/>
  <c r="Z26" i="8"/>
  <c r="Z22" i="8"/>
  <c r="Y7" i="8"/>
  <c r="Y36" i="8"/>
  <c r="Y35" i="8"/>
  <c r="Y26" i="8"/>
  <c r="Y25" i="8"/>
  <c r="Y23" i="8"/>
  <c r="Y15" i="8"/>
  <c r="Y24" i="8"/>
  <c r="Y22" i="8"/>
  <c r="Y17" i="8"/>
  <c r="Y14" i="8"/>
  <c r="Y16" i="8"/>
  <c r="Z32" i="8"/>
  <c r="Y13" i="8"/>
  <c r="Y34" i="8"/>
  <c r="Y33" i="8"/>
  <c r="Y28" i="8"/>
  <c r="Y27" i="8"/>
  <c r="Y19" i="8"/>
  <c r="Z25" i="8"/>
  <c r="Y20" i="8"/>
  <c r="Z24" i="8"/>
  <c r="Z23" i="8"/>
  <c r="Y18" i="8"/>
  <c r="Y12" i="8"/>
  <c r="Z36" i="8"/>
  <c r="Y32" i="8"/>
  <c r="Y11" i="8"/>
  <c r="Z35" i="8"/>
  <c r="Y31" i="8"/>
  <c r="Y10" i="8"/>
  <c r="Z34" i="8"/>
  <c r="Y30" i="8"/>
  <c r="Y9" i="8"/>
  <c r="Z33" i="8"/>
  <c r="Y29" i="8"/>
  <c r="Y8" i="8"/>
  <c r="G33" i="8"/>
  <c r="D40" i="8"/>
  <c r="E40" i="8" s="1"/>
  <c r="Q17" i="10"/>
  <c r="Q14" i="10"/>
  <c r="Q15" i="10"/>
  <c r="Q32" i="10"/>
  <c r="R16" i="10"/>
  <c r="R8" i="10"/>
  <c r="Q36" i="8"/>
  <c r="R32" i="10"/>
  <c r="D35" i="8"/>
  <c r="D38" i="8" s="1"/>
  <c r="D24" i="8"/>
  <c r="R36" i="8" s="1"/>
  <c r="Q36" i="10"/>
  <c r="Q10" i="10"/>
  <c r="C36" i="12"/>
  <c r="H33" i="8"/>
  <c r="Q16" i="10"/>
  <c r="Q33" i="10"/>
  <c r="Q7" i="8"/>
  <c r="Q18" i="10"/>
  <c r="Q11" i="8"/>
  <c r="Q19" i="10"/>
  <c r="Q15" i="8"/>
  <c r="Q20" i="10"/>
  <c r="Q21" i="8"/>
  <c r="Q7" i="10"/>
  <c r="Q22" i="10"/>
  <c r="Q22" i="8"/>
  <c r="Q8" i="10"/>
  <c r="Q23" i="10"/>
  <c r="Q19" i="8"/>
  <c r="Q21" i="10"/>
  <c r="Q23" i="8"/>
  <c r="Q9" i="10"/>
  <c r="Q24" i="10"/>
  <c r="Q30" i="8"/>
  <c r="Q12" i="10"/>
  <c r="Q26" i="10"/>
  <c r="Q26" i="8"/>
  <c r="Q11" i="10"/>
  <c r="Q25" i="10"/>
  <c r="Q34" i="8"/>
  <c r="Q13" i="10"/>
  <c r="Q28" i="10"/>
  <c r="D35" i="10"/>
  <c r="H32" i="10"/>
  <c r="E22" i="12" s="1"/>
  <c r="Q27" i="10"/>
  <c r="Q29" i="10"/>
  <c r="Q30" i="10"/>
  <c r="Q31" i="10"/>
  <c r="Q34" i="10"/>
  <c r="R34" i="10"/>
  <c r="Q24" i="8"/>
  <c r="Q9" i="8"/>
  <c r="Q8" i="8"/>
  <c r="Q10" i="8"/>
  <c r="Q25" i="8"/>
  <c r="Q12" i="8"/>
  <c r="Q27" i="8"/>
  <c r="Q13" i="8"/>
  <c r="Q28" i="8"/>
  <c r="Q14" i="8"/>
  <c r="Q29" i="8"/>
  <c r="Q16" i="8"/>
  <c r="Q17" i="8"/>
  <c r="Q32" i="8"/>
  <c r="Q31" i="8"/>
  <c r="Q18" i="8"/>
  <c r="Q33" i="8"/>
  <c r="Q20" i="8"/>
  <c r="H25" i="8"/>
  <c r="R29" i="10"/>
  <c r="R14" i="10"/>
  <c r="R31" i="10"/>
  <c r="R10" i="10"/>
  <c r="R26" i="10"/>
  <c r="R36" i="10"/>
  <c r="R22" i="10"/>
  <c r="R20" i="10"/>
  <c r="R18" i="10"/>
  <c r="R12" i="10"/>
  <c r="D54" i="10"/>
  <c r="R35" i="10"/>
  <c r="R7" i="10"/>
  <c r="R11" i="10"/>
  <c r="R15" i="10"/>
  <c r="R19" i="10"/>
  <c r="R23" i="10"/>
  <c r="R30" i="10"/>
  <c r="I24" i="10"/>
  <c r="R33" i="10"/>
  <c r="R28" i="10"/>
  <c r="R9" i="10"/>
  <c r="R13" i="10"/>
  <c r="R17" i="10"/>
  <c r="R21" i="10"/>
  <c r="R25" i="10"/>
  <c r="R27" i="10"/>
  <c r="R24" i="10"/>
  <c r="I48"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R35" i="8" l="1"/>
  <c r="H36" i="8"/>
  <c r="C22" i="12"/>
  <c r="R26" i="8"/>
  <c r="X6" i="8"/>
  <c r="Z6" i="8" s="1"/>
  <c r="D46" i="8"/>
  <c r="E46" i="8" s="1"/>
  <c r="D44" i="8"/>
  <c r="E44" i="8" s="1"/>
  <c r="R19" i="8"/>
  <c r="R17" i="8"/>
  <c r="R15" i="8"/>
  <c r="R28" i="8"/>
  <c r="R31" i="8"/>
  <c r="R21" i="8"/>
  <c r="R24" i="8"/>
  <c r="R16" i="8"/>
  <c r="R14" i="8"/>
  <c r="R12" i="8"/>
  <c r="R10" i="8"/>
  <c r="R8" i="8"/>
  <c r="R29" i="8"/>
  <c r="R34" i="8"/>
  <c r="R32" i="8"/>
  <c r="R27" i="8"/>
  <c r="R30" i="8"/>
  <c r="R23" i="8"/>
  <c r="D30" i="10"/>
  <c r="D45" i="8"/>
  <c r="E45" i="8" s="1"/>
  <c r="R11" i="8"/>
  <c r="R7" i="8"/>
  <c r="T25" i="8" s="1"/>
  <c r="R33" i="8"/>
  <c r="R25" i="8"/>
  <c r="R22" i="8"/>
  <c r="R13" i="8"/>
  <c r="R20" i="8"/>
  <c r="R9" i="8"/>
  <c r="R18" i="8"/>
  <c r="I25" i="8"/>
  <c r="H36" i="10"/>
  <c r="D40" i="10"/>
  <c r="E54" i="10"/>
  <c r="D52" i="10"/>
  <c r="T24" i="10"/>
  <c r="T22" i="10"/>
  <c r="T20" i="10"/>
  <c r="T18" i="10"/>
  <c r="T16" i="10"/>
  <c r="T14" i="10"/>
  <c r="T12" i="10"/>
  <c r="T10" i="10"/>
  <c r="T8" i="10"/>
  <c r="T29" i="10"/>
  <c r="T34" i="10"/>
  <c r="T21" i="10"/>
  <c r="T17" i="10"/>
  <c r="T11" i="10"/>
  <c r="T28" i="10"/>
  <c r="T32" i="10"/>
  <c r="T27" i="10"/>
  <c r="T23" i="10"/>
  <c r="T15" i="10"/>
  <c r="T7" i="10"/>
  <c r="T35" i="10"/>
  <c r="T33" i="10"/>
  <c r="T25" i="10"/>
  <c r="T30" i="10"/>
  <c r="T19" i="10"/>
  <c r="T13" i="10"/>
  <c r="T9" i="10"/>
  <c r="T26" i="10"/>
  <c r="T31" i="10"/>
  <c r="T36" i="10"/>
  <c r="D25" i="10"/>
  <c r="P26" i="8"/>
  <c r="P31" i="8"/>
  <c r="P24" i="8"/>
  <c r="P22" i="8"/>
  <c r="P20" i="8"/>
  <c r="P18" i="8"/>
  <c r="P16" i="8"/>
  <c r="P14" i="8"/>
  <c r="P12" i="8"/>
  <c r="P10" i="8"/>
  <c r="P8" i="8"/>
  <c r="P29" i="8"/>
  <c r="P34" i="8"/>
  <c r="P32" i="8"/>
  <c r="D26" i="8"/>
  <c r="C19" i="12" s="1"/>
  <c r="P25" i="8"/>
  <c r="P35" i="8"/>
  <c r="P28" i="8"/>
  <c r="P33" i="8"/>
  <c r="P30" i="8"/>
  <c r="P23" i="8"/>
  <c r="P21" i="8"/>
  <c r="P19" i="8"/>
  <c r="P17" i="8"/>
  <c r="P15" i="8"/>
  <c r="P13" i="8"/>
  <c r="P11" i="8"/>
  <c r="P9" i="8"/>
  <c r="P7" i="8"/>
  <c r="P36" i="8"/>
  <c r="P27" i="8"/>
  <c r="D50" i="6"/>
  <c r="E50" i="6" s="1"/>
  <c r="I24" i="6"/>
  <c r="E47" i="6"/>
  <c r="C19" i="3" s="1"/>
  <c r="A8" i="3"/>
  <c r="C6" i="3"/>
  <c r="C16" i="3" s="1"/>
  <c r="E52" i="10" l="1"/>
  <c r="D52" i="6"/>
  <c r="E52" i="6" s="1"/>
  <c r="D25" i="8"/>
  <c r="C18" i="12" s="1"/>
  <c r="T26" i="8"/>
  <c r="V26" i="8" s="1"/>
  <c r="T33" i="8"/>
  <c r="V33" i="8" s="1"/>
  <c r="T7" i="8"/>
  <c r="V7" i="8" s="1"/>
  <c r="T9" i="8"/>
  <c r="V9" i="8" s="1"/>
  <c r="T23" i="8"/>
  <c r="V23" i="8" s="1"/>
  <c r="T28" i="8"/>
  <c r="V28" i="8" s="1"/>
  <c r="T32" i="8"/>
  <c r="V32" i="8" s="1"/>
  <c r="T29" i="8"/>
  <c r="V29" i="8" s="1"/>
  <c r="V17" i="10"/>
  <c r="V27" i="10"/>
  <c r="V28" i="10"/>
  <c r="V11" i="10"/>
  <c r="V21" i="10"/>
  <c r="V31" i="10"/>
  <c r="V14" i="10"/>
  <c r="V18" i="10"/>
  <c r="V20" i="10"/>
  <c r="V24" i="10"/>
  <c r="V23" i="10"/>
  <c r="V36" i="10"/>
  <c r="V26" i="10"/>
  <c r="V9" i="10"/>
  <c r="V13" i="10"/>
  <c r="V19" i="10"/>
  <c r="V30" i="10"/>
  <c r="V22" i="10"/>
  <c r="V7" i="10"/>
  <c r="V32" i="10"/>
  <c r="V34" i="10"/>
  <c r="V29" i="10"/>
  <c r="V8" i="10"/>
  <c r="V10" i="10"/>
  <c r="V12" i="10"/>
  <c r="V16" i="10"/>
  <c r="V25" i="10"/>
  <c r="V33" i="10"/>
  <c r="V35" i="10"/>
  <c r="V15" i="10"/>
  <c r="V25" i="8"/>
  <c r="T10" i="8"/>
  <c r="V10" i="8" s="1"/>
  <c r="T35" i="8"/>
  <c r="V35" i="8" s="1"/>
  <c r="T27" i="8"/>
  <c r="V27" i="8" s="1"/>
  <c r="T8" i="8"/>
  <c r="V8" i="8" s="1"/>
  <c r="T24" i="8"/>
  <c r="V24" i="8" s="1"/>
  <c r="T34" i="8"/>
  <c r="V34" i="8" s="1"/>
  <c r="D43" i="8"/>
  <c r="T13" i="8"/>
  <c r="V13" i="8" s="1"/>
  <c r="T14" i="8"/>
  <c r="V14" i="8" s="1"/>
  <c r="T12" i="8"/>
  <c r="V12" i="8" s="1"/>
  <c r="T15" i="8"/>
  <c r="V15" i="8" s="1"/>
  <c r="T17" i="8"/>
  <c r="V17" i="8" s="1"/>
  <c r="T18" i="8"/>
  <c r="V18" i="8" s="1"/>
  <c r="T11" i="8"/>
  <c r="V11" i="8" s="1"/>
  <c r="T19" i="8"/>
  <c r="V19" i="8" s="1"/>
  <c r="T20" i="8"/>
  <c r="V20" i="8" s="1"/>
  <c r="T16" i="8"/>
  <c r="V16" i="8" s="1"/>
  <c r="T21" i="8"/>
  <c r="V21" i="8" s="1"/>
  <c r="Y21" i="8" s="1"/>
  <c r="T22" i="8"/>
  <c r="V22" i="8" s="1"/>
  <c r="T30" i="8"/>
  <c r="V30" i="8" s="1"/>
  <c r="T36" i="8"/>
  <c r="V36" i="8" s="1"/>
  <c r="T31" i="8"/>
  <c r="V31" i="8" s="1"/>
  <c r="E18" i="12"/>
  <c r="B25" i="11"/>
  <c r="B145" i="11"/>
  <c r="C146" i="11"/>
  <c r="B201" i="11"/>
  <c r="B213" i="11"/>
  <c r="B214" i="11"/>
  <c r="C214" i="11"/>
  <c r="B265" i="11"/>
  <c r="C314" i="11"/>
  <c r="B127" i="11"/>
  <c r="C127" i="11"/>
  <c r="C128" i="11"/>
  <c r="B129" i="11"/>
  <c r="C105" i="11"/>
  <c r="C28" i="11"/>
  <c r="C339" i="11"/>
  <c r="B323" i="11"/>
  <c r="B306" i="11"/>
  <c r="C245" i="11"/>
  <c r="C227" i="11"/>
  <c r="C205" i="11"/>
  <c r="B187" i="11"/>
  <c r="B164" i="11"/>
  <c r="C46" i="11"/>
  <c r="B106" i="11"/>
  <c r="C156" i="11"/>
  <c r="C25" i="11"/>
  <c r="C164" i="11"/>
  <c r="C251" i="11"/>
  <c r="C24" i="11"/>
  <c r="C168" i="11"/>
  <c r="C288" i="11"/>
  <c r="C66" i="11"/>
  <c r="C261" i="11"/>
  <c r="C35" i="11"/>
  <c r="B18" i="11"/>
  <c r="B48" i="11"/>
  <c r="B179" i="11"/>
  <c r="B40" i="11"/>
  <c r="B200" i="11"/>
  <c r="B360" i="11"/>
  <c r="C170" i="11"/>
  <c r="C340" i="11"/>
  <c r="B11" i="11"/>
  <c r="B112" i="11"/>
  <c r="B272" i="11"/>
  <c r="C62" i="11"/>
  <c r="C222" i="11"/>
  <c r="B23" i="11"/>
  <c r="C93" i="11"/>
  <c r="C253" i="11"/>
  <c r="C298" i="11"/>
  <c r="C77" i="11"/>
  <c r="S10" i="10"/>
  <c r="B284" i="11"/>
  <c r="C15" i="11"/>
  <c r="C111" i="11"/>
  <c r="B10" i="11"/>
  <c r="B161" i="11"/>
  <c r="C63" i="11"/>
  <c r="B69" i="11"/>
  <c r="C161" i="11"/>
  <c r="C277" i="11"/>
  <c r="B20" i="11"/>
  <c r="C202" i="11"/>
  <c r="B103" i="11"/>
  <c r="B216" i="11"/>
  <c r="B350" i="11"/>
  <c r="C256" i="11"/>
  <c r="C147" i="11"/>
  <c r="B148" i="11"/>
  <c r="C148" i="11"/>
  <c r="B149" i="11"/>
  <c r="C129" i="11"/>
  <c r="B8" i="11"/>
  <c r="B359" i="11"/>
  <c r="B341" i="11"/>
  <c r="B324" i="11"/>
  <c r="C267" i="11"/>
  <c r="C247" i="11"/>
  <c r="B228" i="11"/>
  <c r="C209" i="11"/>
  <c r="B211" i="11"/>
  <c r="B311" i="11"/>
  <c r="B235" i="11"/>
  <c r="C91" i="11"/>
  <c r="B237" i="11"/>
  <c r="B94" i="11"/>
  <c r="B238" i="11"/>
  <c r="C7" i="11"/>
  <c r="C155" i="11"/>
  <c r="B276" i="11"/>
  <c r="C49" i="11"/>
  <c r="B248" i="11"/>
  <c r="C18" i="11"/>
  <c r="C259" i="11"/>
  <c r="C34" i="11"/>
  <c r="B166" i="11"/>
  <c r="B50" i="11"/>
  <c r="B210" i="11"/>
  <c r="C10" i="11"/>
  <c r="C180" i="11"/>
  <c r="C350" i="11"/>
  <c r="B71" i="11"/>
  <c r="B122" i="11"/>
  <c r="B282" i="11"/>
  <c r="C72" i="11"/>
  <c r="C232" i="11"/>
  <c r="B33" i="11"/>
  <c r="C103" i="11"/>
  <c r="C263" i="11"/>
  <c r="B286" i="11"/>
  <c r="B64" i="11"/>
  <c r="S12" i="10"/>
  <c r="C266" i="11"/>
  <c r="B185" i="11"/>
  <c r="C116" i="11"/>
  <c r="C89" i="11"/>
  <c r="C117" i="11"/>
  <c r="B44" i="11"/>
  <c r="C291" i="11"/>
  <c r="B209" i="11"/>
  <c r="C95" i="11"/>
  <c r="C140" i="11"/>
  <c r="B242" i="11"/>
  <c r="S17" i="10"/>
  <c r="C76" i="11"/>
  <c r="B288" i="11"/>
  <c r="C42" i="11"/>
  <c r="B105" i="11"/>
  <c r="B143" i="11"/>
  <c r="C81" i="11"/>
  <c r="C270" i="11"/>
  <c r="B256" i="11"/>
  <c r="C274" i="11"/>
  <c r="C174" i="11"/>
  <c r="B175" i="11"/>
  <c r="C175" i="11"/>
  <c r="B176" i="11"/>
  <c r="B156" i="11"/>
  <c r="B29" i="11"/>
  <c r="C8" i="11"/>
  <c r="C359" i="11"/>
  <c r="C344" i="11"/>
  <c r="C285" i="11"/>
  <c r="B268" i="11"/>
  <c r="C249" i="11"/>
  <c r="C228" i="11"/>
  <c r="B229" i="11"/>
  <c r="C121" i="11"/>
  <c r="C101" i="11"/>
  <c r="C131" i="11"/>
  <c r="B174" i="11"/>
  <c r="B334" i="11"/>
  <c r="C225" i="11"/>
  <c r="C356" i="11"/>
  <c r="C139" i="11"/>
  <c r="B263" i="11"/>
  <c r="B36" i="11"/>
  <c r="C235" i="11"/>
  <c r="B5" i="11"/>
  <c r="B247" i="11"/>
  <c r="C17" i="11"/>
  <c r="C151" i="11"/>
  <c r="B60" i="11"/>
  <c r="B220" i="11"/>
  <c r="C20" i="11"/>
  <c r="C190" i="11"/>
  <c r="C360" i="11"/>
  <c r="B111" i="11"/>
  <c r="B132" i="11"/>
  <c r="B292" i="11"/>
  <c r="C82" i="11"/>
  <c r="C242" i="11"/>
  <c r="B43" i="11"/>
  <c r="C113" i="11"/>
  <c r="C273" i="11"/>
  <c r="B273" i="11"/>
  <c r="B47" i="11"/>
  <c r="S14" i="10"/>
  <c r="B56" i="11"/>
  <c r="B77" i="11"/>
  <c r="B277" i="11"/>
  <c r="C48" i="11"/>
  <c r="B252" i="11"/>
  <c r="B227" i="11"/>
  <c r="C265" i="11"/>
  <c r="B65" i="11"/>
  <c r="C243" i="11"/>
  <c r="B215" i="11"/>
  <c r="C271" i="11"/>
  <c r="B197" i="11"/>
  <c r="C197" i="11"/>
  <c r="C198" i="11"/>
  <c r="B199" i="11"/>
  <c r="C176" i="11"/>
  <c r="C57" i="11"/>
  <c r="C29" i="11"/>
  <c r="B9" i="11"/>
  <c r="B361" i="11"/>
  <c r="C306" i="11"/>
  <c r="B287" i="11"/>
  <c r="C268" i="11"/>
  <c r="B251" i="11"/>
  <c r="B253" i="11"/>
  <c r="C45" i="11"/>
  <c r="B348" i="11"/>
  <c r="B46" i="11"/>
  <c r="C348" i="11"/>
  <c r="B333" i="11"/>
  <c r="C211" i="11"/>
  <c r="B344" i="11"/>
  <c r="C126" i="11"/>
  <c r="C248" i="11"/>
  <c r="B19" i="11"/>
  <c r="C221" i="11"/>
  <c r="C207" i="11"/>
  <c r="C234" i="11"/>
  <c r="B354" i="11"/>
  <c r="B137" i="11"/>
  <c r="B70" i="11"/>
  <c r="B230" i="11"/>
  <c r="C30" i="11"/>
  <c r="C200" i="11"/>
  <c r="B21" i="11"/>
  <c r="B131" i="11"/>
  <c r="B142" i="11"/>
  <c r="B302" i="11"/>
  <c r="C92" i="11"/>
  <c r="C252" i="11"/>
  <c r="B53" i="11"/>
  <c r="C123" i="11"/>
  <c r="C283" i="11"/>
  <c r="C258" i="11"/>
  <c r="C31" i="11"/>
  <c r="S9" i="10"/>
  <c r="S16" i="10"/>
  <c r="B28" i="11"/>
  <c r="B24" i="11"/>
  <c r="C68" i="11"/>
  <c r="C301" i="11"/>
  <c r="B170" i="11"/>
  <c r="C310" i="11"/>
  <c r="C352" i="11"/>
  <c r="C204" i="11"/>
  <c r="B55" i="11"/>
  <c r="C90" i="11"/>
  <c r="B205" i="11"/>
  <c r="B184" i="11"/>
  <c r="C160" i="11"/>
  <c r="C94" i="11"/>
  <c r="C144" i="11"/>
  <c r="C216" i="11"/>
  <c r="B217" i="11"/>
  <c r="C217" i="11"/>
  <c r="B218" i="11"/>
  <c r="C199" i="11"/>
  <c r="B86" i="11"/>
  <c r="B58" i="11"/>
  <c r="B37" i="11"/>
  <c r="C187" i="11"/>
  <c r="C324" i="11"/>
  <c r="B307" i="11"/>
  <c r="C287" i="11"/>
  <c r="B269" i="11"/>
  <c r="C269" i="11"/>
  <c r="C254" i="11"/>
  <c r="B294" i="11"/>
  <c r="C309" i="11"/>
  <c r="C294" i="11"/>
  <c r="B275" i="11"/>
  <c r="B198" i="11"/>
  <c r="B329" i="11"/>
  <c r="B113" i="11"/>
  <c r="B236" i="11"/>
  <c r="C5" i="11"/>
  <c r="B208" i="11"/>
  <c r="B195" i="11"/>
  <c r="C219" i="11"/>
  <c r="B339" i="11"/>
  <c r="B124" i="11"/>
  <c r="B80" i="11"/>
  <c r="B240" i="11"/>
  <c r="C40" i="11"/>
  <c r="C210" i="11"/>
  <c r="B31" i="11"/>
  <c r="B151" i="11"/>
  <c r="B152" i="11"/>
  <c r="B312" i="11"/>
  <c r="C102" i="11"/>
  <c r="C262" i="11"/>
  <c r="B63" i="11"/>
  <c r="C133" i="11"/>
  <c r="C293" i="11"/>
  <c r="B246" i="11"/>
  <c r="C16" i="11"/>
  <c r="S15" i="10"/>
  <c r="S18" i="10"/>
  <c r="B7" i="11"/>
  <c r="C192" i="11"/>
  <c r="B57" i="11"/>
  <c r="C311" i="11"/>
  <c r="B97" i="11"/>
  <c r="C150" i="11"/>
  <c r="C362" i="11"/>
  <c r="C104" i="11"/>
  <c r="B177" i="11"/>
  <c r="B35" i="11"/>
  <c r="C212" i="11"/>
  <c r="C74" i="11"/>
  <c r="C238" i="11"/>
  <c r="B239" i="11"/>
  <c r="C239" i="11"/>
  <c r="B241" i="11"/>
  <c r="B221" i="11"/>
  <c r="C106" i="11"/>
  <c r="C86" i="11"/>
  <c r="C58" i="11"/>
  <c r="C327" i="11"/>
  <c r="B345" i="11"/>
  <c r="B325" i="11"/>
  <c r="C307" i="11"/>
  <c r="C289" i="11"/>
  <c r="B291" i="11"/>
  <c r="B119" i="11"/>
  <c r="C169" i="11"/>
  <c r="C189" i="11"/>
  <c r="B173" i="11"/>
  <c r="C215" i="11"/>
  <c r="C185" i="11"/>
  <c r="C316" i="11"/>
  <c r="C97" i="11"/>
  <c r="B223" i="11"/>
  <c r="C195" i="11"/>
  <c r="B181" i="11"/>
  <c r="B207" i="11"/>
  <c r="C326" i="11"/>
  <c r="B108" i="11"/>
  <c r="B90" i="11"/>
  <c r="B250" i="11"/>
  <c r="C50" i="11"/>
  <c r="C220" i="11"/>
  <c r="B41" i="11"/>
  <c r="B171" i="11"/>
  <c r="B162" i="11"/>
  <c r="B322" i="11"/>
  <c r="C112" i="11"/>
  <c r="C272" i="11"/>
  <c r="B73" i="11"/>
  <c r="C143" i="11"/>
  <c r="C303" i="11"/>
  <c r="B233" i="11"/>
  <c r="S23" i="10"/>
  <c r="S20" i="10"/>
  <c r="B54" i="11"/>
  <c r="C334" i="11"/>
  <c r="C328" i="11"/>
  <c r="B219" i="11"/>
  <c r="C32" i="11"/>
  <c r="B267" i="11"/>
  <c r="B117" i="11"/>
  <c r="B278" i="11"/>
  <c r="C206" i="11"/>
  <c r="C233" i="11"/>
  <c r="C84" i="11"/>
  <c r="B163" i="11"/>
  <c r="B38" i="11"/>
  <c r="B190" i="11"/>
  <c r="B313" i="11"/>
  <c r="B331" i="11"/>
  <c r="B257" i="11"/>
  <c r="C257" i="11"/>
  <c r="B258" i="11"/>
  <c r="B261" i="11"/>
  <c r="C241" i="11"/>
  <c r="B133" i="11"/>
  <c r="B107" i="11"/>
  <c r="B87" i="11"/>
  <c r="C9" i="11"/>
  <c r="C361" i="11"/>
  <c r="B346" i="11"/>
  <c r="C325" i="11"/>
  <c r="B308" i="11"/>
  <c r="C308" i="11"/>
  <c r="B301" i="11"/>
  <c r="C99" i="11"/>
  <c r="B309" i="11"/>
  <c r="C231" i="11"/>
  <c r="B147" i="11"/>
  <c r="C171" i="11"/>
  <c r="B304" i="11"/>
  <c r="B84" i="11"/>
  <c r="C208" i="11"/>
  <c r="C181" i="11"/>
  <c r="B167" i="11"/>
  <c r="C194" i="11"/>
  <c r="B314" i="11"/>
  <c r="B95" i="11"/>
  <c r="B100" i="11"/>
  <c r="B260" i="11"/>
  <c r="C60" i="11"/>
  <c r="C230" i="11"/>
  <c r="B51" i="11"/>
  <c r="B12" i="11"/>
  <c r="B172" i="11"/>
  <c r="B332" i="11"/>
  <c r="C122" i="11"/>
  <c r="C282" i="11"/>
  <c r="B83" i="11"/>
  <c r="C153" i="11"/>
  <c r="C313" i="11"/>
  <c r="C218" i="11"/>
  <c r="S25" i="10"/>
  <c r="S35" i="10"/>
  <c r="S22" i="10"/>
  <c r="B315" i="11"/>
  <c r="C65" i="11"/>
  <c r="B123" i="11"/>
  <c r="C56" i="11"/>
  <c r="B349" i="11"/>
  <c r="B66" i="11"/>
  <c r="C320" i="11"/>
  <c r="C73" i="11"/>
  <c r="B271" i="11"/>
  <c r="C186" i="11"/>
  <c r="B303" i="11"/>
  <c r="B102" i="11"/>
  <c r="S34" i="10"/>
  <c r="B74" i="11"/>
  <c r="B146" i="11"/>
  <c r="C278" i="11"/>
  <c r="B279" i="11"/>
  <c r="C279" i="11"/>
  <c r="B281" i="11"/>
  <c r="C264" i="11"/>
  <c r="C157" i="11"/>
  <c r="B134" i="11"/>
  <c r="B114" i="11"/>
  <c r="C37" i="11"/>
  <c r="C11" i="11"/>
  <c r="B363" i="11"/>
  <c r="C346" i="11"/>
  <c r="B327" i="11"/>
  <c r="C347" i="11"/>
  <c r="C44" i="11"/>
  <c r="C21" i="11"/>
  <c r="B45" i="11"/>
  <c r="B293" i="11"/>
  <c r="B75" i="11"/>
  <c r="B157" i="11"/>
  <c r="B289" i="11"/>
  <c r="B67" i="11"/>
  <c r="B196" i="11"/>
  <c r="C167" i="11"/>
  <c r="B154" i="11"/>
  <c r="C179" i="11"/>
  <c r="B299" i="11"/>
  <c r="B78" i="11"/>
  <c r="B110" i="11"/>
  <c r="B270" i="11"/>
  <c r="C70" i="11"/>
  <c r="C240" i="11"/>
  <c r="B61" i="11"/>
  <c r="B22" i="11"/>
  <c r="B182" i="11"/>
  <c r="B342" i="11"/>
  <c r="C132" i="11"/>
  <c r="C292" i="11"/>
  <c r="B93" i="11"/>
  <c r="C163" i="11"/>
  <c r="C323" i="11"/>
  <c r="B206" i="11"/>
  <c r="S32" i="10"/>
  <c r="S7" i="10"/>
  <c r="C55" i="11"/>
  <c r="C338" i="11"/>
  <c r="C295" i="11"/>
  <c r="B326" i="11"/>
  <c r="B305" i="11"/>
  <c r="C330" i="11"/>
  <c r="C329" i="11"/>
  <c r="C145" i="11"/>
  <c r="D145" i="11" s="1"/>
  <c r="C296" i="11"/>
  <c r="B297" i="11"/>
  <c r="C297" i="11"/>
  <c r="B298" i="11"/>
  <c r="C281" i="11"/>
  <c r="C177" i="11"/>
  <c r="B158" i="11"/>
  <c r="C134" i="11"/>
  <c r="B59" i="11"/>
  <c r="C38" i="11"/>
  <c r="B14" i="11"/>
  <c r="B4" i="11"/>
  <c r="B347" i="11"/>
  <c r="B191" i="11"/>
  <c r="B296" i="11"/>
  <c r="B338" i="11"/>
  <c r="C351" i="11"/>
  <c r="B231" i="11"/>
  <c r="B358" i="11"/>
  <c r="B144" i="11"/>
  <c r="C276" i="11"/>
  <c r="C51" i="11"/>
  <c r="B183" i="11"/>
  <c r="C154" i="11"/>
  <c r="B138" i="11"/>
  <c r="C166" i="11"/>
  <c r="C286" i="11"/>
  <c r="C64" i="11"/>
  <c r="B120" i="11"/>
  <c r="B280" i="11"/>
  <c r="C80" i="11"/>
  <c r="C250" i="11"/>
  <c r="B81" i="11"/>
  <c r="B32" i="11"/>
  <c r="B192" i="11"/>
  <c r="B352" i="11"/>
  <c r="C142" i="11"/>
  <c r="C302" i="11"/>
  <c r="C13" i="11"/>
  <c r="C173" i="11"/>
  <c r="C333" i="11"/>
  <c r="B193" i="11"/>
  <c r="S27" i="10"/>
  <c r="D43" i="10"/>
  <c r="S13" i="10"/>
  <c r="C54" i="11"/>
  <c r="B186" i="11"/>
  <c r="B340" i="11"/>
  <c r="S29" i="10"/>
  <c r="B285" i="11"/>
  <c r="B30" i="11"/>
  <c r="S8" i="10"/>
  <c r="C71" i="11"/>
  <c r="C255" i="11"/>
  <c r="B317" i="11"/>
  <c r="C317" i="11"/>
  <c r="C318" i="11"/>
  <c r="B319" i="11"/>
  <c r="C299" i="11"/>
  <c r="C201" i="11"/>
  <c r="B178" i="11"/>
  <c r="C158" i="11"/>
  <c r="C87" i="11"/>
  <c r="C59" i="11"/>
  <c r="B39" i="11"/>
  <c r="C14" i="11"/>
  <c r="C4" i="11"/>
  <c r="C119" i="11"/>
  <c r="B188" i="11"/>
  <c r="B169" i="11"/>
  <c r="B254" i="11"/>
  <c r="B16" i="11"/>
  <c r="C345" i="11"/>
  <c r="B128" i="11"/>
  <c r="B264" i="11"/>
  <c r="C36" i="11"/>
  <c r="B168" i="11"/>
  <c r="C355" i="11"/>
  <c r="C138" i="11"/>
  <c r="B125" i="11"/>
  <c r="B153" i="11"/>
  <c r="B274" i="11"/>
  <c r="C47" i="11"/>
  <c r="B130" i="11"/>
  <c r="B290" i="11"/>
  <c r="C100" i="11"/>
  <c r="C260" i="11"/>
  <c r="B91" i="11"/>
  <c r="B42" i="11"/>
  <c r="B202" i="11"/>
  <c r="B362" i="11"/>
  <c r="C152" i="11"/>
  <c r="C312" i="11"/>
  <c r="C23" i="11"/>
  <c r="C183" i="11"/>
  <c r="C343" i="11"/>
  <c r="C178" i="11"/>
  <c r="S31" i="10"/>
  <c r="S36" i="10"/>
  <c r="S19" i="10"/>
  <c r="C159" i="11"/>
  <c r="C304" i="11"/>
  <c r="C196" i="11"/>
  <c r="B92" i="11"/>
  <c r="B104" i="11"/>
  <c r="C224" i="11"/>
  <c r="B194" i="11"/>
  <c r="B13" i="11"/>
  <c r="B255" i="11"/>
  <c r="C335" i="11"/>
  <c r="B336" i="11"/>
  <c r="C336" i="11"/>
  <c r="B337" i="11"/>
  <c r="C319" i="11"/>
  <c r="B225" i="11"/>
  <c r="B203" i="11"/>
  <c r="C184" i="11"/>
  <c r="C114" i="11"/>
  <c r="B88" i="11"/>
  <c r="C61" i="11"/>
  <c r="C39" i="11"/>
  <c r="B15" i="11"/>
  <c r="C358" i="11"/>
  <c r="B118" i="11"/>
  <c r="C98" i="11"/>
  <c r="C118" i="11"/>
  <c r="B283" i="11"/>
  <c r="C331" i="11"/>
  <c r="B115" i="11"/>
  <c r="B249" i="11"/>
  <c r="C19" i="11"/>
  <c r="B155" i="11"/>
  <c r="C341" i="11"/>
  <c r="C125" i="11"/>
  <c r="B109" i="11"/>
  <c r="C137" i="11"/>
  <c r="B259" i="11"/>
  <c r="B34" i="11"/>
  <c r="B140" i="11"/>
  <c r="B300" i="11"/>
  <c r="C110" i="11"/>
  <c r="C280" i="11"/>
  <c r="B101" i="11"/>
  <c r="B52" i="11"/>
  <c r="B212" i="11"/>
  <c r="E47" i="10"/>
  <c r="C162" i="11"/>
  <c r="C322" i="11"/>
  <c r="C33" i="11"/>
  <c r="C193" i="11"/>
  <c r="C353" i="11"/>
  <c r="C165" i="11"/>
  <c r="S26" i="10"/>
  <c r="S30" i="10"/>
  <c r="B245" i="11"/>
  <c r="C79" i="11"/>
  <c r="B82" i="11"/>
  <c r="B76" i="11"/>
  <c r="C78" i="11"/>
  <c r="C107" i="11"/>
  <c r="C321" i="11"/>
  <c r="B49" i="11"/>
  <c r="C83" i="11"/>
  <c r="B321" i="11"/>
  <c r="B17" i="11"/>
  <c r="C354" i="11"/>
  <c r="B355" i="11"/>
  <c r="B356" i="11"/>
  <c r="B357" i="11"/>
  <c r="C337" i="11"/>
  <c r="B244" i="11"/>
  <c r="B226" i="11"/>
  <c r="B204" i="11"/>
  <c r="B135" i="11"/>
  <c r="C115" i="11"/>
  <c r="C88" i="11"/>
  <c r="C67" i="11"/>
  <c r="C41" i="11"/>
  <c r="B189" i="11"/>
  <c r="C349" i="11"/>
  <c r="B335" i="11"/>
  <c r="B351" i="11"/>
  <c r="C229" i="11"/>
  <c r="B318" i="11"/>
  <c r="B99" i="11"/>
  <c r="C236" i="11"/>
  <c r="B6" i="11"/>
  <c r="B139" i="11"/>
  <c r="B328" i="11"/>
  <c r="C109" i="11"/>
  <c r="B96" i="11"/>
  <c r="C124" i="11"/>
  <c r="C246" i="11"/>
  <c r="B150" i="11"/>
  <c r="B310" i="11"/>
  <c r="C120" i="11"/>
  <c r="C290" i="11"/>
  <c r="B121" i="11"/>
  <c r="B62" i="11"/>
  <c r="B222" i="11"/>
  <c r="C12" i="11"/>
  <c r="C172" i="11"/>
  <c r="C332" i="11"/>
  <c r="C43" i="11"/>
  <c r="C203" i="11"/>
  <c r="C363" i="11"/>
  <c r="C149" i="11"/>
  <c r="S28" i="10"/>
  <c r="S33" i="10"/>
  <c r="C223" i="11"/>
  <c r="C284" i="11"/>
  <c r="B295" i="11"/>
  <c r="C52" i="11"/>
  <c r="C69" i="11"/>
  <c r="B26" i="11"/>
  <c r="C26" i="11"/>
  <c r="B27" i="11"/>
  <c r="C27" i="11"/>
  <c r="C6" i="11"/>
  <c r="C357" i="11"/>
  <c r="B266" i="11"/>
  <c r="C244" i="11"/>
  <c r="C226" i="11"/>
  <c r="B159" i="11"/>
  <c r="C135" i="11"/>
  <c r="B116" i="11"/>
  <c r="B89" i="11"/>
  <c r="B68" i="11"/>
  <c r="C188" i="11"/>
  <c r="C237" i="11"/>
  <c r="B98" i="11"/>
  <c r="B243" i="11"/>
  <c r="B165" i="11"/>
  <c r="C305" i="11"/>
  <c r="C85" i="11"/>
  <c r="B224" i="11"/>
  <c r="B343" i="11"/>
  <c r="B126" i="11"/>
  <c r="C315" i="11"/>
  <c r="C96" i="11"/>
  <c r="B79" i="11"/>
  <c r="C108" i="11"/>
  <c r="B234" i="11"/>
  <c r="S24" i="10"/>
  <c r="B160" i="11"/>
  <c r="B320" i="11"/>
  <c r="C130" i="11"/>
  <c r="C300" i="11"/>
  <c r="B141" i="11"/>
  <c r="B72" i="11"/>
  <c r="B232" i="11"/>
  <c r="C22" i="11"/>
  <c r="C182" i="11"/>
  <c r="C342" i="11"/>
  <c r="C53" i="11"/>
  <c r="C213" i="11"/>
  <c r="B353" i="11"/>
  <c r="C136" i="11"/>
  <c r="S11" i="10"/>
  <c r="B136" i="11"/>
  <c r="B330" i="11"/>
  <c r="C75" i="11"/>
  <c r="C141" i="11"/>
  <c r="B316" i="11"/>
  <c r="B180" i="11"/>
  <c r="S21" i="10"/>
  <c r="B85" i="11"/>
  <c r="C191" i="11"/>
  <c r="C275" i="11"/>
  <c r="B262" i="11"/>
  <c r="D53" i="6"/>
  <c r="E53" i="6" s="1"/>
  <c r="D54" i="6"/>
  <c r="E54" i="6" s="1"/>
  <c r="I25" i="6"/>
  <c r="D339" i="11" l="1"/>
  <c r="D34" i="11"/>
  <c r="D289" i="11"/>
  <c r="D85" i="11"/>
  <c r="D274" i="11"/>
  <c r="D288" i="11"/>
  <c r="D301" i="11"/>
  <c r="D231" i="11"/>
  <c r="D128" i="11"/>
  <c r="D66" i="11"/>
  <c r="D90" i="11"/>
  <c r="D101" i="11"/>
  <c r="D15" i="11"/>
  <c r="D222" i="11"/>
  <c r="D189" i="11"/>
  <c r="D168" i="11"/>
  <c r="D219" i="11"/>
  <c r="D32" i="11"/>
  <c r="D16" i="11"/>
  <c r="D232" i="11"/>
  <c r="D202" i="11"/>
  <c r="D285" i="11"/>
  <c r="D18" i="12"/>
  <c r="E43" i="8"/>
  <c r="E47" i="8" s="1"/>
  <c r="H44" i="8" s="1"/>
  <c r="D47" i="8"/>
  <c r="H26" i="8" s="1"/>
  <c r="D245" i="11"/>
  <c r="D362" i="11"/>
  <c r="D314" i="11"/>
  <c r="D352" i="11"/>
  <c r="D298" i="11"/>
  <c r="D159" i="11"/>
  <c r="D146" i="11"/>
  <c r="D140" i="11"/>
  <c r="D194" i="11"/>
  <c r="D117" i="11"/>
  <c r="D116" i="11"/>
  <c r="D95" i="11"/>
  <c r="D213" i="11"/>
  <c r="D264" i="11"/>
  <c r="D57" i="11"/>
  <c r="D270" i="11"/>
  <c r="D89" i="11"/>
  <c r="D209" i="11"/>
  <c r="D147" i="11"/>
  <c r="D212" i="11"/>
  <c r="D81" i="11"/>
  <c r="D126" i="11"/>
  <c r="D293" i="11"/>
  <c r="D328" i="11"/>
  <c r="D204" i="11"/>
  <c r="D151" i="11"/>
  <c r="D348" i="11"/>
  <c r="D201" i="11"/>
  <c r="D326" i="11"/>
  <c r="D74" i="11"/>
  <c r="D180" i="11"/>
  <c r="D42" i="11"/>
  <c r="D92" i="11"/>
  <c r="D91" i="11"/>
  <c r="D111" i="11"/>
  <c r="D320" i="11"/>
  <c r="D121" i="11"/>
  <c r="D169" i="11"/>
  <c r="D133" i="11"/>
  <c r="D205" i="11"/>
  <c r="D77" i="11"/>
  <c r="D256" i="11"/>
  <c r="D214" i="11"/>
  <c r="D291" i="11"/>
  <c r="D283" i="11"/>
  <c r="D190" i="11"/>
  <c r="D46" i="11"/>
  <c r="D13" i="11"/>
  <c r="D244" i="11"/>
  <c r="D14" i="11"/>
  <c r="D346" i="11"/>
  <c r="D73" i="11"/>
  <c r="D29" i="11"/>
  <c r="D33" i="11"/>
  <c r="D341" i="11"/>
  <c r="D129" i="11"/>
  <c r="D224" i="11"/>
  <c r="D139" i="11"/>
  <c r="D226" i="11"/>
  <c r="D300" i="11"/>
  <c r="D118" i="11"/>
  <c r="D4" i="11"/>
  <c r="D163" i="11"/>
  <c r="D230" i="11"/>
  <c r="D215" i="11"/>
  <c r="D248" i="11"/>
  <c r="D324" i="11"/>
  <c r="D272" i="11"/>
  <c r="D99" i="11"/>
  <c r="D104" i="11"/>
  <c r="D102" i="11"/>
  <c r="D234" i="11"/>
  <c r="D93" i="11"/>
  <c r="D297" i="11"/>
  <c r="D153" i="11"/>
  <c r="D347" i="11"/>
  <c r="D31" i="11"/>
  <c r="D253" i="11"/>
  <c r="D112" i="11"/>
  <c r="D223" i="11"/>
  <c r="D72" i="11"/>
  <c r="D316" i="11"/>
  <c r="D318" i="11"/>
  <c r="D254" i="11"/>
  <c r="D351" i="11"/>
  <c r="D206" i="11"/>
  <c r="D261" i="11"/>
  <c r="D155" i="11"/>
  <c r="D225" i="11"/>
  <c r="D340" i="11"/>
  <c r="D262" i="11"/>
  <c r="D198" i="11"/>
  <c r="D39" i="11"/>
  <c r="D343" i="11"/>
  <c r="D266" i="11"/>
  <c r="D319" i="11"/>
  <c r="D193" i="11"/>
  <c r="D137" i="11"/>
  <c r="D65" i="11"/>
  <c r="D292" i="11"/>
  <c r="D156" i="11"/>
  <c r="D276" i="11"/>
  <c r="D11" i="11"/>
  <c r="D69" i="11"/>
  <c r="D165" i="11"/>
  <c r="D259" i="11"/>
  <c r="D221" i="11"/>
  <c r="D7" i="11"/>
  <c r="D26" i="11"/>
  <c r="D355" i="11"/>
  <c r="D109" i="11"/>
  <c r="D88" i="11"/>
  <c r="D317" i="11"/>
  <c r="D183" i="11"/>
  <c r="D158" i="11"/>
  <c r="D83" i="11"/>
  <c r="D107" i="11"/>
  <c r="D162" i="11"/>
  <c r="D269" i="11"/>
  <c r="D252" i="11"/>
  <c r="D174" i="11"/>
  <c r="D175" i="11"/>
  <c r="D122" i="11"/>
  <c r="D238" i="11"/>
  <c r="D330" i="11"/>
  <c r="D160" i="11"/>
  <c r="D335" i="11"/>
  <c r="D17" i="11"/>
  <c r="D148" i="11"/>
  <c r="D68" i="11"/>
  <c r="D310" i="11"/>
  <c r="D258" i="11"/>
  <c r="D150" i="11"/>
  <c r="D249" i="11"/>
  <c r="D250" i="11"/>
  <c r="D35" i="11"/>
  <c r="D37" i="11"/>
  <c r="D344" i="11"/>
  <c r="D350" i="11"/>
  <c r="D123" i="11"/>
  <c r="D113" i="11"/>
  <c r="D170" i="11"/>
  <c r="D131" i="11"/>
  <c r="D247" i="11"/>
  <c r="D96" i="11"/>
  <c r="D336" i="11"/>
  <c r="D296" i="11"/>
  <c r="D313" i="11"/>
  <c r="D82" i="11"/>
  <c r="D255" i="11"/>
  <c r="D178" i="11"/>
  <c r="D120" i="11"/>
  <c r="D305" i="11"/>
  <c r="D61" i="11"/>
  <c r="D45" i="11"/>
  <c r="D100" i="11"/>
  <c r="D308" i="11"/>
  <c r="D38" i="11"/>
  <c r="D181" i="11"/>
  <c r="D97" i="11"/>
  <c r="D24" i="11"/>
  <c r="D43" i="11"/>
  <c r="D36" i="11"/>
  <c r="D28" i="11"/>
  <c r="D141" i="11"/>
  <c r="D27" i="11"/>
  <c r="D357" i="11"/>
  <c r="D138" i="11"/>
  <c r="D59" i="11"/>
  <c r="D110" i="11"/>
  <c r="D327" i="11"/>
  <c r="D167" i="11"/>
  <c r="D240" i="11"/>
  <c r="D354" i="11"/>
  <c r="D132" i="11"/>
  <c r="D176" i="11"/>
  <c r="D8" i="11"/>
  <c r="D161" i="11"/>
  <c r="D25" i="11"/>
  <c r="D243" i="11"/>
  <c r="D356" i="11"/>
  <c r="D78" i="11"/>
  <c r="D303" i="11"/>
  <c r="D87" i="11"/>
  <c r="D278" i="11"/>
  <c r="D322" i="11"/>
  <c r="D241" i="11"/>
  <c r="D80" i="11"/>
  <c r="D287" i="11"/>
  <c r="D227" i="11"/>
  <c r="D334" i="11"/>
  <c r="D282" i="11"/>
  <c r="D10" i="11"/>
  <c r="D127" i="11"/>
  <c r="D124" i="11"/>
  <c r="D184" i="11"/>
  <c r="D149" i="11"/>
  <c r="D360" i="11"/>
  <c r="D106" i="11"/>
  <c r="D6" i="11"/>
  <c r="D294" i="11"/>
  <c r="D62" i="11"/>
  <c r="D271" i="11"/>
  <c r="D84" i="11"/>
  <c r="D267" i="11"/>
  <c r="D171" i="11"/>
  <c r="D173" i="11"/>
  <c r="D239" i="11"/>
  <c r="D361" i="11"/>
  <c r="D44" i="11"/>
  <c r="D71" i="11"/>
  <c r="D94" i="11"/>
  <c r="D200" i="11"/>
  <c r="D265" i="11"/>
  <c r="D263" i="11"/>
  <c r="D242" i="11"/>
  <c r="D290" i="11"/>
  <c r="D188" i="11"/>
  <c r="D154" i="11"/>
  <c r="D304" i="11"/>
  <c r="D41" i="11"/>
  <c r="D246" i="11"/>
  <c r="D307" i="11"/>
  <c r="D53" i="11"/>
  <c r="D19" i="11"/>
  <c r="D9" i="11"/>
  <c r="D277" i="11"/>
  <c r="D237" i="11"/>
  <c r="D284" i="11"/>
  <c r="D40" i="11"/>
  <c r="D164" i="11"/>
  <c r="D299" i="11"/>
  <c r="D321" i="11"/>
  <c r="D203" i="11"/>
  <c r="D130" i="11"/>
  <c r="D144" i="11"/>
  <c r="D114" i="11"/>
  <c r="D332" i="11"/>
  <c r="D195" i="11"/>
  <c r="D55" i="11"/>
  <c r="D220" i="11"/>
  <c r="D179" i="11"/>
  <c r="D187" i="11"/>
  <c r="D98" i="11"/>
  <c r="D136" i="11"/>
  <c r="D295" i="11"/>
  <c r="D30" i="11"/>
  <c r="D192" i="11"/>
  <c r="D358" i="11"/>
  <c r="D196" i="11"/>
  <c r="D134" i="11"/>
  <c r="D172" i="11"/>
  <c r="D119" i="11"/>
  <c r="D208" i="11"/>
  <c r="D56" i="11"/>
  <c r="D60" i="11"/>
  <c r="D229" i="11"/>
  <c r="D235" i="11"/>
  <c r="D48" i="11"/>
  <c r="D45" i="10"/>
  <c r="E43" i="10"/>
  <c r="E45" i="10" s="1"/>
  <c r="E49" i="10" s="1"/>
  <c r="E56" i="10" s="1"/>
  <c r="D359" i="11"/>
  <c r="D49" i="11"/>
  <c r="D67" i="11"/>
  <c r="D349" i="11"/>
  <c r="D12" i="11"/>
  <c r="D63" i="11"/>
  <c r="D302" i="11"/>
  <c r="D185" i="11"/>
  <c r="D210" i="11"/>
  <c r="D311" i="11"/>
  <c r="D18" i="11"/>
  <c r="D47" i="10"/>
  <c r="D115" i="11"/>
  <c r="D337" i="11"/>
  <c r="D51" i="11"/>
  <c r="D309" i="11"/>
  <c r="D257" i="11"/>
  <c r="D54" i="11"/>
  <c r="D177" i="11"/>
  <c r="D236" i="11"/>
  <c r="D58" i="11"/>
  <c r="D142" i="11"/>
  <c r="D199" i="11"/>
  <c r="D47" i="11"/>
  <c r="D143" i="11"/>
  <c r="D50" i="11"/>
  <c r="D211" i="11"/>
  <c r="D216" i="11"/>
  <c r="D353" i="11"/>
  <c r="D79" i="11"/>
  <c r="D52" i="11"/>
  <c r="D125" i="11"/>
  <c r="D338" i="11"/>
  <c r="D342" i="11"/>
  <c r="D157" i="11"/>
  <c r="D281" i="11"/>
  <c r="D331" i="11"/>
  <c r="D108" i="11"/>
  <c r="D86" i="11"/>
  <c r="D333" i="11"/>
  <c r="D273" i="11"/>
  <c r="D268" i="11"/>
  <c r="D105" i="11"/>
  <c r="D166" i="11"/>
  <c r="D103" i="11"/>
  <c r="D306" i="11"/>
  <c r="D217" i="11"/>
  <c r="D70" i="11"/>
  <c r="D251" i="11"/>
  <c r="D186" i="11"/>
  <c r="D182" i="11"/>
  <c r="D75" i="11"/>
  <c r="D325" i="11"/>
  <c r="D312" i="11"/>
  <c r="D329" i="11"/>
  <c r="D21" i="11"/>
  <c r="D5" i="11"/>
  <c r="D64" i="11"/>
  <c r="D228" i="11"/>
  <c r="D23" i="11"/>
  <c r="D323" i="11"/>
  <c r="D275" i="11"/>
  <c r="D363" i="11"/>
  <c r="D135" i="11"/>
  <c r="D76" i="11"/>
  <c r="D280" i="11"/>
  <c r="D191" i="11"/>
  <c r="D22" i="11"/>
  <c r="D279" i="11"/>
  <c r="D315" i="11"/>
  <c r="D260" i="11"/>
  <c r="D233" i="11"/>
  <c r="D207" i="11"/>
  <c r="D345" i="11"/>
  <c r="D152" i="11"/>
  <c r="D218" i="11"/>
  <c r="D197" i="11"/>
  <c r="D286" i="11"/>
  <c r="D20" i="11"/>
  <c r="E4" i="11"/>
  <c r="E5" i="11" s="1"/>
  <c r="E6" i="11" s="1"/>
  <c r="E7" i="11" s="1"/>
  <c r="E8" i="11" s="1"/>
  <c r="E9" i="11" s="1"/>
  <c r="E10" i="11" s="1"/>
  <c r="E11" i="11" s="1"/>
  <c r="E12" i="11" s="1"/>
  <c r="E13" i="11" s="1"/>
  <c r="E14" i="11" s="1"/>
  <c r="E15" i="11" s="1"/>
  <c r="D51" i="6"/>
  <c r="D25" i="6"/>
  <c r="A11" i="2"/>
  <c r="A12" i="2" s="1"/>
  <c r="A13" i="2" s="1"/>
  <c r="A14" i="2" s="1"/>
  <c r="A15" i="2" s="1"/>
  <c r="A16" i="2" s="1"/>
  <c r="A17" i="2" s="1"/>
  <c r="A18" i="2" s="1"/>
  <c r="A19" i="2" s="1"/>
  <c r="A20" i="2" s="1"/>
  <c r="A21" i="2" s="1"/>
  <c r="A22" i="2" s="1"/>
  <c r="A23" i="2" s="1"/>
  <c r="D49" i="10" l="1"/>
  <c r="D56" i="10" s="1"/>
  <c r="E51" i="6"/>
  <c r="H28" i="8"/>
  <c r="I28" i="8" s="1"/>
  <c r="H27" i="8"/>
  <c r="I27" i="8" s="1"/>
  <c r="H37" i="8" s="1"/>
  <c r="I26" i="8"/>
  <c r="E16" i="11"/>
  <c r="E17" i="11" s="1"/>
  <c r="E18" i="11" s="1"/>
  <c r="E19" i="11" s="1"/>
  <c r="E20" i="11" s="1"/>
  <c r="E21" i="11" s="1"/>
  <c r="E22" i="11" s="1"/>
  <c r="E23" i="11" s="1"/>
  <c r="E24" i="11" s="1"/>
  <c r="E25" i="11" s="1"/>
  <c r="E26" i="11" s="1"/>
  <c r="E27" i="11" s="1"/>
  <c r="U7" i="10"/>
  <c r="N7" i="10" s="1"/>
  <c r="I25" i="10"/>
  <c r="D35" i="6"/>
  <c r="E46" i="6"/>
  <c r="C20" i="3" s="1"/>
  <c r="H33" i="6"/>
  <c r="D22" i="12" s="1"/>
  <c r="D24" i="6"/>
  <c r="H38" i="8" l="1"/>
  <c r="C20" i="12"/>
  <c r="I45" i="10"/>
  <c r="F262" i="11"/>
  <c r="F247" i="11"/>
  <c r="F73" i="11"/>
  <c r="F161" i="11"/>
  <c r="F160" i="11"/>
  <c r="F145" i="11"/>
  <c r="F28" i="11"/>
  <c r="F275" i="11"/>
  <c r="F182" i="11"/>
  <c r="F310" i="11"/>
  <c r="F139" i="11"/>
  <c r="F56" i="11"/>
  <c r="F72" i="11"/>
  <c r="F318" i="11"/>
  <c r="F165" i="11"/>
  <c r="F344" i="11"/>
  <c r="F227" i="11"/>
  <c r="F124" i="11"/>
  <c r="F339" i="11"/>
  <c r="F347" i="11"/>
  <c r="F69" i="11"/>
  <c r="F306" i="11"/>
  <c r="F293" i="11"/>
  <c r="F93" i="11"/>
  <c r="F352" i="11"/>
  <c r="F147" i="11"/>
  <c r="F137" i="11"/>
  <c r="F362" i="11"/>
  <c r="F21" i="11"/>
  <c r="F221" i="11"/>
  <c r="F301" i="11"/>
  <c r="F46" i="11"/>
  <c r="F314" i="11"/>
  <c r="F315" i="11"/>
  <c r="F246" i="11"/>
  <c r="F229" i="11"/>
  <c r="F67" i="11"/>
  <c r="F236" i="11"/>
  <c r="F241" i="11"/>
  <c r="F200" i="11"/>
  <c r="F17" i="11"/>
  <c r="F113" i="11"/>
  <c r="F9" i="11"/>
  <c r="F87" i="11"/>
  <c r="F48" i="11"/>
  <c r="F38" i="11"/>
  <c r="F234" i="11"/>
  <c r="F323" i="11"/>
  <c r="F316" i="11"/>
  <c r="F83" i="11"/>
  <c r="F300" i="11"/>
  <c r="F322" i="11"/>
  <c r="F177" i="11"/>
  <c r="F328" i="11"/>
  <c r="F363" i="11"/>
  <c r="F285" i="11"/>
  <c r="F248" i="11"/>
  <c r="F50" i="11"/>
  <c r="F304" i="11"/>
  <c r="F31" i="11"/>
  <c r="F279" i="11"/>
  <c r="F360" i="11"/>
  <c r="F116" i="11"/>
  <c r="F40" i="11"/>
  <c r="F212" i="11"/>
  <c r="F62" i="11"/>
  <c r="F273" i="11"/>
  <c r="F143" i="11"/>
  <c r="F119" i="11"/>
  <c r="F245" i="11"/>
  <c r="F331" i="11"/>
  <c r="F228" i="11"/>
  <c r="F249" i="11"/>
  <c r="F92" i="11"/>
  <c r="F204" i="11"/>
  <c r="F286" i="11"/>
  <c r="F103" i="11"/>
  <c r="F76" i="11"/>
  <c r="F269" i="11"/>
  <c r="F131" i="11"/>
  <c r="F128" i="11"/>
  <c r="F226" i="11"/>
  <c r="F213" i="11"/>
  <c r="F308" i="11"/>
  <c r="F112" i="11"/>
  <c r="F99" i="11"/>
  <c r="F107" i="11"/>
  <c r="F222" i="11"/>
  <c r="F281" i="11"/>
  <c r="F22" i="11"/>
  <c r="F39" i="11"/>
  <c r="F265" i="11"/>
  <c r="F205" i="11"/>
  <c r="F24" i="11"/>
  <c r="F45" i="11"/>
  <c r="F218" i="11"/>
  <c r="F199" i="11"/>
  <c r="F96" i="11"/>
  <c r="F278" i="11"/>
  <c r="F86" i="11"/>
  <c r="F168" i="11"/>
  <c r="F239" i="11"/>
  <c r="F255" i="11"/>
  <c r="F270" i="11"/>
  <c r="F350" i="11"/>
  <c r="F98" i="11"/>
  <c r="F151" i="11"/>
  <c r="F88" i="11"/>
  <c r="F263" i="11"/>
  <c r="F13" i="11"/>
  <c r="F253" i="11"/>
  <c r="F109" i="11"/>
  <c r="F127" i="11"/>
  <c r="F231" i="11"/>
  <c r="F280" i="11"/>
  <c r="F303" i="11"/>
  <c r="F337" i="11"/>
  <c r="F357" i="11"/>
  <c r="F183" i="11"/>
  <c r="F343" i="11"/>
  <c r="F132" i="11"/>
  <c r="F309" i="11"/>
  <c r="F311" i="11"/>
  <c r="F54" i="11"/>
  <c r="F353" i="11"/>
  <c r="F320" i="11"/>
  <c r="F302" i="11"/>
  <c r="F313" i="11"/>
  <c r="F12" i="11"/>
  <c r="F100" i="11"/>
  <c r="F101" i="11"/>
  <c r="F164" i="11"/>
  <c r="F191" i="11"/>
  <c r="F184" i="11"/>
  <c r="F90" i="11"/>
  <c r="F235" i="11"/>
  <c r="F257" i="11"/>
  <c r="F187" i="11"/>
  <c r="F133" i="11"/>
  <c r="F190" i="11"/>
  <c r="F44" i="11"/>
  <c r="F207" i="11"/>
  <c r="F210" i="11"/>
  <c r="F358" i="11"/>
  <c r="F180" i="11"/>
  <c r="F33" i="11"/>
  <c r="F251" i="11"/>
  <c r="F136" i="11"/>
  <c r="F232" i="11"/>
  <c r="F198" i="11"/>
  <c r="F359" i="11"/>
  <c r="F217" i="11"/>
  <c r="F47" i="11"/>
  <c r="F118" i="11"/>
  <c r="F102" i="11"/>
  <c r="F29" i="11"/>
  <c r="F170" i="11"/>
  <c r="F49" i="11"/>
  <c r="F126" i="11"/>
  <c r="F129" i="11"/>
  <c r="F173" i="11"/>
  <c r="F254" i="11"/>
  <c r="F82" i="11"/>
  <c r="F332" i="11"/>
  <c r="F6" i="11"/>
  <c r="F214" i="11"/>
  <c r="F356" i="11"/>
  <c r="F349" i="11"/>
  <c r="F104" i="11"/>
  <c r="F30" i="11"/>
  <c r="F348" i="11"/>
  <c r="F325" i="11"/>
  <c r="F166" i="11"/>
  <c r="F111" i="11"/>
  <c r="F122" i="11"/>
  <c r="F225" i="11"/>
  <c r="F85" i="11"/>
  <c r="F27" i="11"/>
  <c r="F63" i="11"/>
  <c r="F55" i="11"/>
  <c r="F81" i="11"/>
  <c r="F188" i="11"/>
  <c r="F172" i="11"/>
  <c r="F259" i="11"/>
  <c r="F282" i="11"/>
  <c r="F345" i="11"/>
  <c r="F74" i="11"/>
  <c r="F20" i="11"/>
  <c r="F163" i="11"/>
  <c r="F244" i="11"/>
  <c r="F61" i="11"/>
  <c r="F32" i="11"/>
  <c r="F181" i="11"/>
  <c r="F106" i="11"/>
  <c r="F152" i="11"/>
  <c r="F51" i="11"/>
  <c r="F16" i="11"/>
  <c r="F289" i="11"/>
  <c r="F287" i="11"/>
  <c r="F35" i="11"/>
  <c r="F4" i="11"/>
  <c r="G4" i="11" s="1"/>
  <c r="F156" i="11"/>
  <c r="F65" i="11"/>
  <c r="F148" i="11"/>
  <c r="F202" i="11"/>
  <c r="F208" i="11"/>
  <c r="F19" i="11"/>
  <c r="F340" i="11"/>
  <c r="F206" i="11"/>
  <c r="F175" i="11"/>
  <c r="F80" i="11"/>
  <c r="F211" i="11"/>
  <c r="F354" i="11"/>
  <c r="F117" i="11"/>
  <c r="F230" i="11"/>
  <c r="F290" i="11"/>
  <c r="F215" i="11"/>
  <c r="F41" i="11"/>
  <c r="F159" i="11"/>
  <c r="F138" i="11"/>
  <c r="F149" i="11"/>
  <c r="F335" i="11"/>
  <c r="F334" i="11"/>
  <c r="F36" i="11"/>
  <c r="F108" i="11"/>
  <c r="F153" i="11"/>
  <c r="F121" i="11"/>
  <c r="F209" i="11"/>
  <c r="F330" i="11"/>
  <c r="F142" i="11"/>
  <c r="F77" i="11"/>
  <c r="F174" i="11"/>
  <c r="F346" i="11"/>
  <c r="F355" i="11"/>
  <c r="F260" i="11"/>
  <c r="F272" i="11"/>
  <c r="F258" i="11"/>
  <c r="F321" i="11"/>
  <c r="F5" i="11"/>
  <c r="F324" i="11"/>
  <c r="F89" i="11"/>
  <c r="F274" i="11"/>
  <c r="F264" i="11"/>
  <c r="F186" i="11"/>
  <c r="F26" i="11"/>
  <c r="F197" i="11"/>
  <c r="F305" i="11"/>
  <c r="F276" i="11"/>
  <c r="F14" i="11"/>
  <c r="F64" i="11"/>
  <c r="F261" i="11"/>
  <c r="F123" i="11"/>
  <c r="F95" i="11"/>
  <c r="F8" i="11"/>
  <c r="F25" i="11"/>
  <c r="F52" i="11"/>
  <c r="F220" i="11"/>
  <c r="F57" i="11"/>
  <c r="F312" i="11"/>
  <c r="F267" i="11"/>
  <c r="F162" i="11"/>
  <c r="F329" i="11"/>
  <c r="F130" i="11"/>
  <c r="F34" i="11"/>
  <c r="F10" i="11"/>
  <c r="F194" i="11"/>
  <c r="F271" i="11"/>
  <c r="F317" i="11"/>
  <c r="F75" i="11"/>
  <c r="F150" i="11"/>
  <c r="F120" i="11"/>
  <c r="F252" i="11"/>
  <c r="F154" i="11"/>
  <c r="F333" i="11"/>
  <c r="F60" i="11"/>
  <c r="F243" i="11"/>
  <c r="F268" i="11"/>
  <c r="F326" i="11"/>
  <c r="F78" i="11"/>
  <c r="F201" i="11"/>
  <c r="F233" i="11"/>
  <c r="F71" i="11"/>
  <c r="F141" i="11"/>
  <c r="F195" i="11"/>
  <c r="F237" i="11"/>
  <c r="F94" i="11"/>
  <c r="F250" i="11"/>
  <c r="F11" i="11"/>
  <c r="F84" i="11"/>
  <c r="F298" i="11"/>
  <c r="F224" i="11"/>
  <c r="F179" i="11"/>
  <c r="F158" i="11"/>
  <c r="F291" i="11"/>
  <c r="F192" i="11"/>
  <c r="F238" i="11"/>
  <c r="F135" i="11"/>
  <c r="F68" i="11"/>
  <c r="F297" i="11"/>
  <c r="F167" i="11"/>
  <c r="F105" i="11"/>
  <c r="F242" i="11"/>
  <c r="F295" i="11"/>
  <c r="F292" i="11"/>
  <c r="F203" i="11"/>
  <c r="F296" i="11"/>
  <c r="F146" i="11"/>
  <c r="F15" i="11"/>
  <c r="F37" i="11"/>
  <c r="F299" i="11"/>
  <c r="F178" i="11"/>
  <c r="F155" i="11"/>
  <c r="F42" i="11"/>
  <c r="F338" i="11"/>
  <c r="F134" i="11"/>
  <c r="F23" i="11"/>
  <c r="F79" i="11"/>
  <c r="F361" i="11"/>
  <c r="F97" i="11"/>
  <c r="F7" i="11"/>
  <c r="F351" i="11"/>
  <c r="F240" i="11"/>
  <c r="F58" i="11"/>
  <c r="F140" i="11"/>
  <c r="F125" i="11"/>
  <c r="F277" i="11"/>
  <c r="F91" i="11"/>
  <c r="F171" i="11"/>
  <c r="F288" i="11"/>
  <c r="F266" i="11"/>
  <c r="F216" i="11"/>
  <c r="F341" i="11"/>
  <c r="F185" i="11"/>
  <c r="F43" i="11"/>
  <c r="F342" i="11"/>
  <c r="F70" i="11"/>
  <c r="F144" i="11"/>
  <c r="F283" i="11"/>
  <c r="F219" i="11"/>
  <c r="F18" i="11"/>
  <c r="F284" i="11"/>
  <c r="F169" i="11"/>
  <c r="F115" i="11"/>
  <c r="F336" i="11"/>
  <c r="F176" i="11"/>
  <c r="F319" i="11"/>
  <c r="F196" i="11"/>
  <c r="F189" i="11"/>
  <c r="F294" i="11"/>
  <c r="F223" i="11"/>
  <c r="F53" i="11"/>
  <c r="F114" i="11"/>
  <c r="F193" i="11"/>
  <c r="F157" i="11"/>
  <c r="F66" i="11"/>
  <c r="F307" i="11"/>
  <c r="F256" i="11"/>
  <c r="F59" i="11"/>
  <c r="F110" i="11"/>
  <c r="F327" i="11"/>
  <c r="I27" i="10"/>
  <c r="I26" i="10"/>
  <c r="X19" i="8"/>
  <c r="Z19" i="8" s="1"/>
  <c r="X7" i="8"/>
  <c r="Z7" i="8" s="1"/>
  <c r="X18" i="8"/>
  <c r="Z18" i="8" s="1"/>
  <c r="X17" i="8"/>
  <c r="Z17" i="8" s="1"/>
  <c r="X36" i="8"/>
  <c r="X16" i="8"/>
  <c r="Z16" i="8" s="1"/>
  <c r="X35" i="8"/>
  <c r="X15" i="8"/>
  <c r="Z15" i="8" s="1"/>
  <c r="X34" i="8"/>
  <c r="X14" i="8"/>
  <c r="Z14" i="8" s="1"/>
  <c r="X33" i="8"/>
  <c r="X13" i="8"/>
  <c r="Z13" i="8" s="1"/>
  <c r="X32" i="8"/>
  <c r="X12" i="8"/>
  <c r="Z12" i="8" s="1"/>
  <c r="X31" i="8"/>
  <c r="X11" i="8"/>
  <c r="Z11" i="8" s="1"/>
  <c r="X30" i="8"/>
  <c r="X10" i="8"/>
  <c r="Z10" i="8" s="1"/>
  <c r="X29" i="8"/>
  <c r="X9" i="8"/>
  <c r="Z9" i="8" s="1"/>
  <c r="X28" i="8"/>
  <c r="X8" i="8"/>
  <c r="Z8" i="8" s="1"/>
  <c r="X27" i="8"/>
  <c r="X26" i="8"/>
  <c r="X25" i="8"/>
  <c r="X24" i="8"/>
  <c r="X23" i="8"/>
  <c r="X22" i="8"/>
  <c r="X21" i="8"/>
  <c r="Z21" i="8" s="1"/>
  <c r="X20" i="8"/>
  <c r="Z20" i="8" s="1"/>
  <c r="H25" i="10"/>
  <c r="E28" i="11"/>
  <c r="E29" i="11" s="1"/>
  <c r="E30" i="11" s="1"/>
  <c r="E31" i="11" s="1"/>
  <c r="E32" i="11" s="1"/>
  <c r="E33" i="11" s="1"/>
  <c r="E34" i="11" s="1"/>
  <c r="E35" i="11" s="1"/>
  <c r="E36" i="11" s="1"/>
  <c r="E37" i="11" s="1"/>
  <c r="E38" i="11" s="1"/>
  <c r="E39" i="11" s="1"/>
  <c r="U8" i="10"/>
  <c r="N8" i="10" s="1"/>
  <c r="H37" i="6"/>
  <c r="D40" i="6"/>
  <c r="S16" i="6" s="1"/>
  <c r="R25" i="6"/>
  <c r="R36" i="6"/>
  <c r="R31" i="6"/>
  <c r="R11" i="6"/>
  <c r="R18" i="6"/>
  <c r="R27" i="6"/>
  <c r="R19" i="6"/>
  <c r="R14" i="6"/>
  <c r="R16" i="6"/>
  <c r="R12" i="6"/>
  <c r="R35" i="6"/>
  <c r="R21" i="6"/>
  <c r="R20" i="6"/>
  <c r="R17" i="6"/>
  <c r="R26" i="6"/>
  <c r="R10" i="6"/>
  <c r="R29" i="6"/>
  <c r="R34" i="6"/>
  <c r="R8" i="6"/>
  <c r="R7" i="6"/>
  <c r="R22" i="6"/>
  <c r="R30" i="6"/>
  <c r="R32" i="6"/>
  <c r="R13" i="6"/>
  <c r="R9" i="6"/>
  <c r="R33" i="6"/>
  <c r="R23" i="6"/>
  <c r="R15" i="6"/>
  <c r="R28" i="6"/>
  <c r="R24" i="6"/>
  <c r="G5" i="11" l="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H34" i="10" s="1"/>
  <c r="E21" i="12" s="1"/>
  <c r="H27" i="10"/>
  <c r="D28" i="10" s="1"/>
  <c r="H26" i="10"/>
  <c r="W25" i="10"/>
  <c r="W26" i="10"/>
  <c r="W7" i="10"/>
  <c r="W27" i="10"/>
  <c r="W8" i="10"/>
  <c r="W28" i="10"/>
  <c r="W9" i="10"/>
  <c r="W29" i="10"/>
  <c r="W10" i="10"/>
  <c r="W30" i="10"/>
  <c r="W11" i="10"/>
  <c r="W31" i="10"/>
  <c r="W12" i="10"/>
  <c r="W32" i="10"/>
  <c r="W33" i="10"/>
  <c r="W14" i="10"/>
  <c r="W34" i="10"/>
  <c r="W15" i="10"/>
  <c r="W35" i="10"/>
  <c r="W16" i="10"/>
  <c r="W36" i="10"/>
  <c r="W17" i="10"/>
  <c r="W18" i="10"/>
  <c r="W19" i="10"/>
  <c r="W20" i="10"/>
  <c r="W21" i="10"/>
  <c r="W22" i="10"/>
  <c r="W24" i="10"/>
  <c r="W23" i="10"/>
  <c r="W13" i="10"/>
  <c r="C167" i="4"/>
  <c r="B127" i="4"/>
  <c r="C355" i="4"/>
  <c r="C148" i="4"/>
  <c r="B326" i="4"/>
  <c r="B83" i="4"/>
  <c r="B268" i="4"/>
  <c r="C166" i="4"/>
  <c r="C271" i="4"/>
  <c r="B280" i="4"/>
  <c r="B71" i="4"/>
  <c r="B6" i="4"/>
  <c r="B346" i="4"/>
  <c r="C219" i="4"/>
  <c r="C259" i="4"/>
  <c r="C353" i="4"/>
  <c r="B271" i="4"/>
  <c r="C125" i="4"/>
  <c r="S18" i="6"/>
  <c r="C322" i="4"/>
  <c r="C204" i="4"/>
  <c r="C296" i="4"/>
  <c r="C295" i="4"/>
  <c r="B143" i="4"/>
  <c r="B75" i="4"/>
  <c r="B53" i="4"/>
  <c r="B112" i="4"/>
  <c r="B224" i="4"/>
  <c r="C317" i="4"/>
  <c r="B105" i="4"/>
  <c r="S23" i="6"/>
  <c r="B353" i="4"/>
  <c r="C199" i="4"/>
  <c r="B197" i="4"/>
  <c r="B341" i="4"/>
  <c r="C44" i="4"/>
  <c r="C291" i="4"/>
  <c r="C184" i="4"/>
  <c r="C258" i="4"/>
  <c r="C153" i="4"/>
  <c r="C12" i="4"/>
  <c r="C267" i="4"/>
  <c r="B347" i="4"/>
  <c r="C45" i="4"/>
  <c r="B216" i="4"/>
  <c r="B96" i="4"/>
  <c r="C15" i="4"/>
  <c r="B258" i="4"/>
  <c r="C143" i="4"/>
  <c r="B102" i="4"/>
  <c r="C26" i="4"/>
  <c r="C363" i="4"/>
  <c r="C52" i="4"/>
  <c r="C69" i="4"/>
  <c r="C361" i="4"/>
  <c r="C112" i="4"/>
  <c r="C315" i="4"/>
  <c r="C27" i="4"/>
  <c r="C334" i="4"/>
  <c r="C320" i="4"/>
  <c r="B121" i="4"/>
  <c r="C203" i="4"/>
  <c r="C193" i="4"/>
  <c r="B340" i="4"/>
  <c r="C55" i="4"/>
  <c r="C136" i="4"/>
  <c r="B362" i="4"/>
  <c r="B331" i="4"/>
  <c r="C303" i="4"/>
  <c r="C265" i="4"/>
  <c r="S20" i="6"/>
  <c r="B82" i="4"/>
  <c r="C152" i="4"/>
  <c r="B315" i="4"/>
  <c r="C4" i="4"/>
  <c r="C360" i="4"/>
  <c r="B120" i="4"/>
  <c r="B11" i="4"/>
  <c r="B261" i="4"/>
  <c r="C175" i="4"/>
  <c r="B95" i="4"/>
  <c r="C62" i="4"/>
  <c r="C302" i="4"/>
  <c r="S7" i="6"/>
  <c r="C173" i="4"/>
  <c r="B164" i="4"/>
  <c r="C326" i="4"/>
  <c r="C285" i="4"/>
  <c r="B10" i="4"/>
  <c r="C24" i="4"/>
  <c r="C83" i="4"/>
  <c r="B136" i="4"/>
  <c r="C298" i="4"/>
  <c r="S14" i="6"/>
  <c r="B253" i="4"/>
  <c r="B25" i="4"/>
  <c r="B32" i="4"/>
  <c r="C309" i="4"/>
  <c r="C161" i="4"/>
  <c r="C230" i="4"/>
  <c r="B262" i="4"/>
  <c r="B241" i="4"/>
  <c r="B281" i="4"/>
  <c r="C176" i="4"/>
  <c r="C60" i="4"/>
  <c r="C11" i="4"/>
  <c r="B259" i="4"/>
  <c r="B109" i="4"/>
  <c r="D43" i="6"/>
  <c r="E43" i="6" s="1"/>
  <c r="E45" i="6" s="1"/>
  <c r="E48" i="6" s="1"/>
  <c r="E55" i="6" s="1"/>
  <c r="H45" i="6" s="1"/>
  <c r="B295" i="4"/>
  <c r="C92" i="4"/>
  <c r="B205" i="4"/>
  <c r="B37" i="4"/>
  <c r="B245" i="4"/>
  <c r="B323" i="4"/>
  <c r="B343" i="4"/>
  <c r="B339" i="4"/>
  <c r="B77" i="4"/>
  <c r="C297" i="4"/>
  <c r="B140" i="4"/>
  <c r="B319" i="4"/>
  <c r="C66" i="4"/>
  <c r="B65" i="4"/>
  <c r="C231" i="4"/>
  <c r="C287" i="4"/>
  <c r="B137" i="4"/>
  <c r="B252" i="4"/>
  <c r="B254" i="4"/>
  <c r="B15" i="4"/>
  <c r="B46" i="4"/>
  <c r="C239" i="4"/>
  <c r="B72" i="4"/>
  <c r="B142" i="4"/>
  <c r="B356" i="4"/>
  <c r="C127" i="4"/>
  <c r="C223" i="4"/>
  <c r="B351" i="4"/>
  <c r="C40" i="4"/>
  <c r="C73" i="4"/>
  <c r="S8" i="6"/>
  <c r="B284" i="4"/>
  <c r="B276" i="4"/>
  <c r="C308" i="4"/>
  <c r="C311" i="4"/>
  <c r="B91" i="4"/>
  <c r="C293" i="4"/>
  <c r="B269" i="4"/>
  <c r="C189" i="4"/>
  <c r="C87" i="4"/>
  <c r="C67" i="4"/>
  <c r="B89" i="4"/>
  <c r="C157" i="4"/>
  <c r="C213" i="4"/>
  <c r="C163" i="4"/>
  <c r="C135" i="4"/>
  <c r="S35" i="6"/>
  <c r="B211" i="4"/>
  <c r="B100" i="4"/>
  <c r="C359" i="4"/>
  <c r="C180" i="4"/>
  <c r="C208" i="4"/>
  <c r="C236" i="4"/>
  <c r="B337" i="4"/>
  <c r="B214" i="4"/>
  <c r="B342" i="4"/>
  <c r="C123" i="4"/>
  <c r="C9" i="4"/>
  <c r="C97" i="4"/>
  <c r="S33" i="6"/>
  <c r="B151" i="4"/>
  <c r="C23" i="4"/>
  <c r="B233" i="4"/>
  <c r="C319" i="4"/>
  <c r="C299" i="4"/>
  <c r="S10" i="6"/>
  <c r="B250" i="4"/>
  <c r="C327" i="4"/>
  <c r="C159" i="4"/>
  <c r="B119" i="4"/>
  <c r="C307" i="4"/>
  <c r="B129" i="4"/>
  <c r="H43" i="8"/>
  <c r="B355" i="4"/>
  <c r="B30" i="4"/>
  <c r="B88" i="4"/>
  <c r="B195" i="4"/>
  <c r="C171" i="4"/>
  <c r="C284" i="4"/>
  <c r="C124" i="4"/>
  <c r="B345" i="4"/>
  <c r="B16" i="4"/>
  <c r="B181" i="4"/>
  <c r="C17" i="4"/>
  <c r="B180" i="4"/>
  <c r="C207" i="4"/>
  <c r="C316" i="4"/>
  <c r="C58" i="4"/>
  <c r="B154" i="4"/>
  <c r="B134" i="4"/>
  <c r="S31" i="6"/>
  <c r="B286" i="4"/>
  <c r="B231" i="4"/>
  <c r="C237" i="4"/>
  <c r="B294" i="4"/>
  <c r="B50" i="4"/>
  <c r="C226" i="4"/>
  <c r="B300" i="4"/>
  <c r="B196" i="4"/>
  <c r="B352" i="4"/>
  <c r="B320" i="4"/>
  <c r="S24" i="6"/>
  <c r="B240" i="4"/>
  <c r="C174" i="4"/>
  <c r="C42" i="4"/>
  <c r="C50" i="4"/>
  <c r="C257" i="4"/>
  <c r="S29" i="6"/>
  <c r="B158" i="4"/>
  <c r="B156" i="4"/>
  <c r="C337" i="4"/>
  <c r="C242" i="4"/>
  <c r="C206" i="4"/>
  <c r="C76" i="4"/>
  <c r="C34" i="4"/>
  <c r="C186" i="4"/>
  <c r="B183" i="4"/>
  <c r="B360" i="4"/>
  <c r="C106" i="4"/>
  <c r="C300" i="4"/>
  <c r="B328" i="4"/>
  <c r="B47" i="4"/>
  <c r="C357" i="4"/>
  <c r="B108" i="4"/>
  <c r="B153" i="4"/>
  <c r="C248" i="4"/>
  <c r="B209" i="4"/>
  <c r="B168" i="4"/>
  <c r="C89" i="4"/>
  <c r="B63" i="4"/>
  <c r="B264" i="4"/>
  <c r="B21" i="4"/>
  <c r="B225" i="4"/>
  <c r="S28" i="6"/>
  <c r="B171" i="4"/>
  <c r="C201" i="4"/>
  <c r="C352" i="4"/>
  <c r="C289" i="4"/>
  <c r="C7" i="4"/>
  <c r="C253" i="4"/>
  <c r="B43" i="4"/>
  <c r="B313" i="4"/>
  <c r="B44" i="4"/>
  <c r="C29" i="4"/>
  <c r="B22" i="4"/>
  <c r="C115" i="4"/>
  <c r="B24" i="4"/>
  <c r="C162" i="4"/>
  <c r="B242" i="4"/>
  <c r="B124" i="4"/>
  <c r="B116" i="4"/>
  <c r="B335" i="4"/>
  <c r="B93" i="4"/>
  <c r="C32" i="4"/>
  <c r="C111" i="4"/>
  <c r="B266" i="4"/>
  <c r="B60" i="4"/>
  <c r="C98" i="4"/>
  <c r="B20" i="4"/>
  <c r="B45" i="4"/>
  <c r="C25" i="4"/>
  <c r="B229" i="4"/>
  <c r="B122" i="4"/>
  <c r="B178" i="4"/>
  <c r="B306" i="4"/>
  <c r="S32" i="6"/>
  <c r="B34" i="4"/>
  <c r="B279" i="4"/>
  <c r="C38" i="4"/>
  <c r="B5" i="4"/>
  <c r="B132" i="4"/>
  <c r="C211" i="4"/>
  <c r="C263" i="4"/>
  <c r="C160" i="4"/>
  <c r="C288" i="4"/>
  <c r="C356" i="4"/>
  <c r="C275" i="4"/>
  <c r="B29" i="4"/>
  <c r="B55" i="4"/>
  <c r="B28" i="4"/>
  <c r="B324" i="4"/>
  <c r="B148" i="4"/>
  <c r="B204" i="4"/>
  <c r="B309" i="4"/>
  <c r="B222" i="4"/>
  <c r="B237" i="4"/>
  <c r="C305" i="4"/>
  <c r="B223" i="4"/>
  <c r="B321" i="4"/>
  <c r="B212" i="4"/>
  <c r="B220" i="4"/>
  <c r="C36" i="4"/>
  <c r="C268" i="4"/>
  <c r="C110" i="4"/>
  <c r="C350" i="4"/>
  <c r="B160" i="4"/>
  <c r="C282" i="4"/>
  <c r="C286" i="4"/>
  <c r="B169" i="4"/>
  <c r="C183" i="4"/>
  <c r="B98" i="4"/>
  <c r="B19" i="4"/>
  <c r="B357" i="4"/>
  <c r="D357" i="4" s="1"/>
  <c r="B61" i="4"/>
  <c r="C304" i="4"/>
  <c r="C210" i="4"/>
  <c r="B176" i="4"/>
  <c r="C146" i="4"/>
  <c r="B208" i="4"/>
  <c r="B226" i="4"/>
  <c r="B334" i="4"/>
  <c r="C238" i="4"/>
  <c r="C273" i="4"/>
  <c r="C196" i="4"/>
  <c r="B260" i="4"/>
  <c r="B221" i="4"/>
  <c r="B182" i="4"/>
  <c r="B251" i="4"/>
  <c r="B296" i="4"/>
  <c r="B297" i="4"/>
  <c r="B62" i="4"/>
  <c r="B193" i="4"/>
  <c r="C117" i="4"/>
  <c r="B31" i="4"/>
  <c r="C252" i="4"/>
  <c r="C86" i="4"/>
  <c r="C228" i="4"/>
  <c r="B186" i="4"/>
  <c r="C169" i="4"/>
  <c r="C140" i="4"/>
  <c r="B307" i="4"/>
  <c r="B152" i="4"/>
  <c r="C33" i="4"/>
  <c r="C105" i="4"/>
  <c r="C70" i="4"/>
  <c r="C224" i="4"/>
  <c r="C118" i="4"/>
  <c r="S25" i="6"/>
  <c r="C47" i="4"/>
  <c r="B283" i="4"/>
  <c r="C274" i="4"/>
  <c r="B92" i="4"/>
  <c r="C235" i="4"/>
  <c r="B198" i="4"/>
  <c r="B219" i="4"/>
  <c r="B246" i="4"/>
  <c r="C39" i="4"/>
  <c r="C14" i="4"/>
  <c r="C145" i="4"/>
  <c r="C142" i="4"/>
  <c r="B113" i="4"/>
  <c r="B359" i="4"/>
  <c r="B35" i="4"/>
  <c r="B230" i="4"/>
  <c r="C338" i="4"/>
  <c r="B305" i="4"/>
  <c r="C187" i="4"/>
  <c r="B86" i="4"/>
  <c r="B287" i="4"/>
  <c r="C82" i="4"/>
  <c r="B49" i="4"/>
  <c r="B236" i="4"/>
  <c r="B257" i="4"/>
  <c r="B94" i="4"/>
  <c r="B304" i="4"/>
  <c r="C109" i="4"/>
  <c r="S36" i="6"/>
  <c r="C200" i="4"/>
  <c r="B265" i="4"/>
  <c r="C294" i="4"/>
  <c r="C260" i="4"/>
  <c r="B41" i="4"/>
  <c r="B202" i="4"/>
  <c r="C35" i="4"/>
  <c r="C225" i="4"/>
  <c r="C99" i="4"/>
  <c r="C56" i="4"/>
  <c r="B59" i="4"/>
  <c r="C37" i="4"/>
  <c r="B117" i="4"/>
  <c r="C137" i="4"/>
  <c r="B125" i="4"/>
  <c r="C132" i="4"/>
  <c r="C261" i="4"/>
  <c r="C216" i="4"/>
  <c r="C240" i="4"/>
  <c r="S19" i="6"/>
  <c r="B78" i="4"/>
  <c r="B74" i="4"/>
  <c r="B179" i="4"/>
  <c r="C88" i="4"/>
  <c r="S17" i="6"/>
  <c r="C141" i="4"/>
  <c r="C120" i="4"/>
  <c r="C272" i="4"/>
  <c r="C80" i="4"/>
  <c r="C95" i="4"/>
  <c r="B13" i="4"/>
  <c r="B111" i="4"/>
  <c r="C241" i="4"/>
  <c r="C254" i="4"/>
  <c r="C330" i="4"/>
  <c r="C229" i="4"/>
  <c r="C250" i="4"/>
  <c r="C331" i="4"/>
  <c r="C188" i="4"/>
  <c r="B338" i="4"/>
  <c r="B332" i="4"/>
  <c r="B126" i="4"/>
  <c r="C71" i="4"/>
  <c r="C28" i="4"/>
  <c r="B206" i="4"/>
  <c r="C114" i="4"/>
  <c r="B201" i="4"/>
  <c r="B162" i="4"/>
  <c r="C30" i="4"/>
  <c r="S12" i="6"/>
  <c r="C220" i="4"/>
  <c r="C151" i="4"/>
  <c r="B147" i="4"/>
  <c r="C349" i="4"/>
  <c r="C134" i="4"/>
  <c r="B36" i="4"/>
  <c r="B69" i="4"/>
  <c r="B191" i="4"/>
  <c r="C96" i="4"/>
  <c r="C262" i="4"/>
  <c r="C306" i="4"/>
  <c r="C313" i="4"/>
  <c r="C264" i="4"/>
  <c r="B146" i="4"/>
  <c r="B42" i="4"/>
  <c r="B228" i="4"/>
  <c r="C178" i="4"/>
  <c r="C121" i="4"/>
  <c r="C144" i="4"/>
  <c r="C179" i="4"/>
  <c r="C197" i="4"/>
  <c r="B277" i="4"/>
  <c r="B325" i="4"/>
  <c r="C85" i="4"/>
  <c r="C72" i="4"/>
  <c r="C49" i="4"/>
  <c r="C172" i="4"/>
  <c r="B314" i="4"/>
  <c r="B278" i="4"/>
  <c r="B192" i="4"/>
  <c r="C251" i="4"/>
  <c r="S26" i="6"/>
  <c r="C218" i="4"/>
  <c r="C181" i="4"/>
  <c r="B145" i="4"/>
  <c r="C165" i="4"/>
  <c r="B185" i="4"/>
  <c r="B135" i="4"/>
  <c r="C212" i="4"/>
  <c r="B175" i="4"/>
  <c r="C351" i="4"/>
  <c r="C53" i="4"/>
  <c r="C278" i="4"/>
  <c r="B70" i="4"/>
  <c r="B51" i="4"/>
  <c r="B273" i="4"/>
  <c r="B301" i="4"/>
  <c r="C321" i="4"/>
  <c r="C310" i="4"/>
  <c r="C191" i="4"/>
  <c r="C346" i="4"/>
  <c r="B232" i="4"/>
  <c r="C57" i="4"/>
  <c r="C279" i="4"/>
  <c r="C22" i="4"/>
  <c r="C48" i="4"/>
  <c r="B322" i="4"/>
  <c r="C190" i="4"/>
  <c r="B275" i="4"/>
  <c r="C93" i="4"/>
  <c r="C232" i="4"/>
  <c r="B40" i="4"/>
  <c r="B144" i="4"/>
  <c r="B330" i="4"/>
  <c r="B118" i="4"/>
  <c r="B115" i="4"/>
  <c r="C358" i="4"/>
  <c r="B33" i="4"/>
  <c r="B350" i="4"/>
  <c r="B138" i="4"/>
  <c r="C221" i="4"/>
  <c r="B289" i="4"/>
  <c r="B310" i="4"/>
  <c r="B85" i="4"/>
  <c r="B354" i="4"/>
  <c r="B4" i="4"/>
  <c r="C94" i="4"/>
  <c r="B263" i="4"/>
  <c r="C340" i="4"/>
  <c r="B167" i="4"/>
  <c r="C269" i="4"/>
  <c r="B239" i="4"/>
  <c r="C215" i="4"/>
  <c r="B217" i="4"/>
  <c r="B194" i="4"/>
  <c r="C325" i="4"/>
  <c r="C8" i="4"/>
  <c r="B128" i="4"/>
  <c r="C247" i="4"/>
  <c r="C341" i="4"/>
  <c r="B270" i="4"/>
  <c r="C131" i="4"/>
  <c r="B26" i="4"/>
  <c r="B358" i="4"/>
  <c r="C78" i="4"/>
  <c r="B344" i="4"/>
  <c r="B56" i="4"/>
  <c r="B139" i="4"/>
  <c r="B48" i="4"/>
  <c r="B76" i="4"/>
  <c r="C65" i="4"/>
  <c r="B292" i="4"/>
  <c r="B333" i="4"/>
  <c r="C150" i="4"/>
  <c r="C185" i="4"/>
  <c r="C217" i="4"/>
  <c r="B285" i="4"/>
  <c r="B170" i="4"/>
  <c r="B244" i="4"/>
  <c r="B150" i="4"/>
  <c r="B336" i="4"/>
  <c r="C318" i="4"/>
  <c r="B282" i="4"/>
  <c r="C147" i="4"/>
  <c r="C332" i="4"/>
  <c r="C5" i="4"/>
  <c r="C68" i="4"/>
  <c r="B107" i="4"/>
  <c r="C243" i="4"/>
  <c r="C149" i="4"/>
  <c r="B58" i="4"/>
  <c r="C323" i="4"/>
  <c r="B190" i="4"/>
  <c r="B291" i="4"/>
  <c r="B349" i="4"/>
  <c r="C222" i="4"/>
  <c r="B213" i="4"/>
  <c r="C343" i="4"/>
  <c r="B68" i="4"/>
  <c r="B348" i="4"/>
  <c r="C102" i="4"/>
  <c r="C20" i="4"/>
  <c r="C51" i="4"/>
  <c r="B311" i="4"/>
  <c r="C130" i="4"/>
  <c r="C202" i="4"/>
  <c r="C91" i="4"/>
  <c r="C347" i="4"/>
  <c r="C209" i="4"/>
  <c r="B104" i="4"/>
  <c r="B238" i="4"/>
  <c r="C16" i="4"/>
  <c r="C266" i="4"/>
  <c r="B290" i="4"/>
  <c r="B247" i="4"/>
  <c r="B130" i="4"/>
  <c r="B114" i="4"/>
  <c r="B235" i="4"/>
  <c r="B318" i="4"/>
  <c r="B97" i="4"/>
  <c r="C198" i="4"/>
  <c r="B67" i="4"/>
  <c r="B23" i="4"/>
  <c r="C182" i="4"/>
  <c r="C333" i="4"/>
  <c r="C77" i="4"/>
  <c r="B27" i="4"/>
  <c r="C21" i="4"/>
  <c r="C103" i="4"/>
  <c r="C280" i="4"/>
  <c r="B90" i="4"/>
  <c r="C276" i="4"/>
  <c r="B106" i="4"/>
  <c r="B81" i="4"/>
  <c r="B38" i="4"/>
  <c r="B177" i="4"/>
  <c r="B361" i="4"/>
  <c r="C79" i="4"/>
  <c r="B166" i="4"/>
  <c r="B110" i="4"/>
  <c r="C81" i="4"/>
  <c r="B73" i="4"/>
  <c r="B299" i="4"/>
  <c r="C113" i="4"/>
  <c r="D113" i="4" s="1"/>
  <c r="B8" i="4"/>
  <c r="C133" i="4"/>
  <c r="C13" i="4"/>
  <c r="C63" i="4"/>
  <c r="B188" i="4"/>
  <c r="C256" i="4"/>
  <c r="S22" i="6"/>
  <c r="B363" i="4"/>
  <c r="B18" i="4"/>
  <c r="B234" i="4"/>
  <c r="B249" i="4"/>
  <c r="B54" i="4"/>
  <c r="C46" i="4"/>
  <c r="C31" i="4"/>
  <c r="C336" i="4"/>
  <c r="B308" i="4"/>
  <c r="B66" i="4"/>
  <c r="B255" i="4"/>
  <c r="C104" i="4"/>
  <c r="B288" i="4"/>
  <c r="S11" i="6"/>
  <c r="B161" i="4"/>
  <c r="B57" i="4"/>
  <c r="B248" i="4"/>
  <c r="C155" i="4"/>
  <c r="B256" i="4"/>
  <c r="B101" i="4"/>
  <c r="C6" i="4"/>
  <c r="B133" i="4"/>
  <c r="S9" i="6"/>
  <c r="C75" i="4"/>
  <c r="C312" i="4"/>
  <c r="C292" i="4"/>
  <c r="C168" i="4"/>
  <c r="B14" i="4"/>
  <c r="C129" i="4"/>
  <c r="C43" i="4"/>
  <c r="B99" i="4"/>
  <c r="B173" i="4"/>
  <c r="B199" i="4"/>
  <c r="B79" i="4"/>
  <c r="C339" i="4"/>
  <c r="C59" i="4"/>
  <c r="B274" i="4"/>
  <c r="B184" i="4"/>
  <c r="B7" i="4"/>
  <c r="C344" i="4"/>
  <c r="B272" i="4"/>
  <c r="C119" i="4"/>
  <c r="B149" i="4"/>
  <c r="S15" i="6"/>
  <c r="C328" i="4"/>
  <c r="B218" i="4"/>
  <c r="B172" i="4"/>
  <c r="B103" i="4"/>
  <c r="B302" i="4"/>
  <c r="B215" i="4"/>
  <c r="C158" i="4"/>
  <c r="B200" i="4"/>
  <c r="S13" i="6"/>
  <c r="B243" i="4"/>
  <c r="C362" i="4"/>
  <c r="B9" i="4"/>
  <c r="C283" i="4"/>
  <c r="C156" i="4"/>
  <c r="C234" i="4"/>
  <c r="B39" i="4"/>
  <c r="C10" i="4"/>
  <c r="C128" i="4"/>
  <c r="B84" i="4"/>
  <c r="C170" i="4"/>
  <c r="B316" i="4"/>
  <c r="C100" i="4"/>
  <c r="C107" i="4"/>
  <c r="C122" i="4"/>
  <c r="C64" i="4"/>
  <c r="B293" i="4"/>
  <c r="B187" i="4"/>
  <c r="B159" i="4"/>
  <c r="B298" i="4"/>
  <c r="B123" i="4"/>
  <c r="C348" i="4"/>
  <c r="C61" i="4"/>
  <c r="B189" i="4"/>
  <c r="B87" i="4"/>
  <c r="C329" i="4"/>
  <c r="C18" i="3"/>
  <c r="C21" i="3" s="1"/>
  <c r="C23" i="3" s="1"/>
  <c r="C28" i="3" s="1"/>
  <c r="D36" i="10" s="1"/>
  <c r="B52" i="4"/>
  <c r="S27" i="6"/>
  <c r="C108" i="4"/>
  <c r="C214" i="4"/>
  <c r="B317" i="4"/>
  <c r="B207" i="4"/>
  <c r="B203" i="4"/>
  <c r="B17" i="4"/>
  <c r="B12" i="4"/>
  <c r="B327" i="4"/>
  <c r="B157" i="4"/>
  <c r="S21" i="6"/>
  <c r="C101" i="4"/>
  <c r="C154" i="4"/>
  <c r="C233" i="4"/>
  <c r="C195" i="4"/>
  <c r="C54" i="4"/>
  <c r="B131" i="4"/>
  <c r="B174" i="4"/>
  <c r="C194" i="4"/>
  <c r="C249" i="4"/>
  <c r="B163" i="4"/>
  <c r="B267" i="4"/>
  <c r="C324" i="4"/>
  <c r="C177" i="4"/>
  <c r="B80" i="4"/>
  <c r="C84" i="4"/>
  <c r="B165" i="4"/>
  <c r="C255" i="4"/>
  <c r="C18" i="4"/>
  <c r="C74" i="4"/>
  <c r="C301" i="4"/>
  <c r="C244" i="4"/>
  <c r="S34" i="6"/>
  <c r="C281" i="4"/>
  <c r="B155" i="4"/>
  <c r="C164" i="4"/>
  <c r="B312" i="4"/>
  <c r="B329" i="4"/>
  <c r="B303" i="4"/>
  <c r="C227" i="4"/>
  <c r="B227" i="4"/>
  <c r="C335" i="4"/>
  <c r="C90" i="4"/>
  <c r="B210" i="4"/>
  <c r="C192" i="4"/>
  <c r="B64" i="4"/>
  <c r="C342" i="4"/>
  <c r="B141" i="4"/>
  <c r="C246" i="4"/>
  <c r="C270" i="4"/>
  <c r="C116" i="4"/>
  <c r="C205" i="4"/>
  <c r="C277" i="4"/>
  <c r="C314" i="4"/>
  <c r="C138" i="4"/>
  <c r="C139" i="4"/>
  <c r="C19" i="4"/>
  <c r="S30" i="6"/>
  <c r="C126" i="4"/>
  <c r="C354" i="4"/>
  <c r="C345" i="4"/>
  <c r="C245" i="4"/>
  <c r="C41" i="4"/>
  <c r="C290" i="4"/>
  <c r="E40" i="11"/>
  <c r="E41" i="11" s="1"/>
  <c r="E42" i="11" s="1"/>
  <c r="E43" i="11" s="1"/>
  <c r="E44" i="11" s="1"/>
  <c r="E45" i="11" s="1"/>
  <c r="E46" i="11" s="1"/>
  <c r="E47" i="11" s="1"/>
  <c r="E48" i="11" s="1"/>
  <c r="E49" i="11" s="1"/>
  <c r="E50" i="11" s="1"/>
  <c r="E51" i="11" s="1"/>
  <c r="U9" i="10"/>
  <c r="N9" i="10" s="1"/>
  <c r="T13" i="6"/>
  <c r="V13" i="6" s="1"/>
  <c r="T19" i="6"/>
  <c r="V19" i="6" s="1"/>
  <c r="T14" i="6"/>
  <c r="V14" i="6" s="1"/>
  <c r="T16" i="6"/>
  <c r="V16" i="6" s="1"/>
  <c r="T12" i="6"/>
  <c r="V12" i="6" s="1"/>
  <c r="T8" i="6"/>
  <c r="V8" i="6" s="1"/>
  <c r="T28" i="6"/>
  <c r="V28" i="6" s="1"/>
  <c r="T9" i="6"/>
  <c r="V9" i="6" s="1"/>
  <c r="T11" i="6"/>
  <c r="V11" i="6" s="1"/>
  <c r="T31" i="6"/>
  <c r="V31" i="6" s="1"/>
  <c r="T10" i="6"/>
  <c r="V10" i="6" s="1"/>
  <c r="T29" i="6"/>
  <c r="V29" i="6" s="1"/>
  <c r="T34" i="6"/>
  <c r="V34" i="6" s="1"/>
  <c r="T21" i="6"/>
  <c r="T30" i="6"/>
  <c r="V30" i="6" s="1"/>
  <c r="T22" i="6"/>
  <c r="V22" i="6" s="1"/>
  <c r="T7" i="6"/>
  <c r="V7" i="6" s="1"/>
  <c r="T26" i="6"/>
  <c r="V26" i="6" s="1"/>
  <c r="T18" i="6"/>
  <c r="V18" i="6" s="1"/>
  <c r="T32" i="6"/>
  <c r="V32" i="6" s="1"/>
  <c r="T17" i="6"/>
  <c r="V17" i="6" s="1"/>
  <c r="T24" i="6"/>
  <c r="V24" i="6" s="1"/>
  <c r="T33" i="6"/>
  <c r="V33" i="6" s="1"/>
  <c r="T20" i="6"/>
  <c r="V20" i="6" s="1"/>
  <c r="T27" i="6"/>
  <c r="V27" i="6" s="1"/>
  <c r="T15" i="6"/>
  <c r="V15" i="6" s="1"/>
  <c r="T25" i="6"/>
  <c r="V25" i="6" s="1"/>
  <c r="T35" i="6"/>
  <c r="V35" i="6" s="1"/>
  <c r="T36" i="6"/>
  <c r="V36" i="6" s="1"/>
  <c r="T23" i="6"/>
  <c r="V23" i="6" s="1"/>
  <c r="V21" i="6" l="1"/>
  <c r="D92" i="4"/>
  <c r="D57" i="4"/>
  <c r="D263" i="4"/>
  <c r="D304" i="4"/>
  <c r="D121" i="4"/>
  <c r="D324" i="4"/>
  <c r="D347" i="4"/>
  <c r="D5" i="4"/>
  <c r="D340" i="4"/>
  <c r="D30" i="4"/>
  <c r="D88" i="4"/>
  <c r="D158" i="4"/>
  <c r="D202" i="4"/>
  <c r="D281" i="4"/>
  <c r="D69" i="4"/>
  <c r="D72" i="4"/>
  <c r="D167" i="4"/>
  <c r="D95" i="4"/>
  <c r="D31" i="8"/>
  <c r="C29" i="12"/>
  <c r="D326" i="4"/>
  <c r="D349" i="4"/>
  <c r="D250" i="4"/>
  <c r="D44" i="4"/>
  <c r="D219" i="4"/>
  <c r="D151" i="4"/>
  <c r="D164" i="4"/>
  <c r="D91" i="4"/>
  <c r="D361" i="4"/>
  <c r="D245" i="4"/>
  <c r="D345" i="4"/>
  <c r="D231" i="4"/>
  <c r="D343" i="4"/>
  <c r="D303" i="4"/>
  <c r="E28" i="12"/>
  <c r="D27" i="10"/>
  <c r="G184" i="1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1" i="11" s="1"/>
  <c r="G312" i="11" s="1"/>
  <c r="G313" i="11" s="1"/>
  <c r="G314" i="11" s="1"/>
  <c r="G315" i="11" s="1"/>
  <c r="G316" i="11" s="1"/>
  <c r="G317" i="11" s="1"/>
  <c r="G318" i="11" s="1"/>
  <c r="G319" i="11" s="1"/>
  <c r="G320" i="11" s="1"/>
  <c r="G321" i="11" s="1"/>
  <c r="G322" i="11" s="1"/>
  <c r="G323" i="11" s="1"/>
  <c r="G324" i="11" s="1"/>
  <c r="G325" i="11" s="1"/>
  <c r="G326" i="11" s="1"/>
  <c r="G327" i="11" s="1"/>
  <c r="G328" i="11" s="1"/>
  <c r="G329" i="11" s="1"/>
  <c r="G330" i="11" s="1"/>
  <c r="G331" i="11" s="1"/>
  <c r="G332" i="11" s="1"/>
  <c r="G333" i="11" s="1"/>
  <c r="G334" i="11" s="1"/>
  <c r="G335" i="11" s="1"/>
  <c r="G336" i="11" s="1"/>
  <c r="G337" i="11" s="1"/>
  <c r="G338" i="11" s="1"/>
  <c r="G339" i="11" s="1"/>
  <c r="G340" i="11" s="1"/>
  <c r="G341" i="11" s="1"/>
  <c r="G342" i="11" s="1"/>
  <c r="G343" i="11" s="1"/>
  <c r="G344" i="11" s="1"/>
  <c r="G345" i="11" s="1"/>
  <c r="G346" i="11" s="1"/>
  <c r="G347" i="11" s="1"/>
  <c r="G348" i="11" s="1"/>
  <c r="G349" i="11" s="1"/>
  <c r="G350" i="11" s="1"/>
  <c r="G351" i="11" s="1"/>
  <c r="G352" i="11" s="1"/>
  <c r="G353" i="11" s="1"/>
  <c r="G354" i="11" s="1"/>
  <c r="G355" i="11" s="1"/>
  <c r="G356" i="11" s="1"/>
  <c r="G357" i="11" s="1"/>
  <c r="G358" i="11" s="1"/>
  <c r="G359" i="11" s="1"/>
  <c r="G360" i="11" s="1"/>
  <c r="G361" i="11" s="1"/>
  <c r="G362" i="11" s="1"/>
  <c r="G363" i="11" s="1"/>
  <c r="H37" i="10"/>
  <c r="D352" i="4"/>
  <c r="D74" i="4"/>
  <c r="D64" i="4"/>
  <c r="D341" i="4"/>
  <c r="D309" i="4"/>
  <c r="D315" i="4"/>
  <c r="D291" i="4"/>
  <c r="D82" i="4"/>
  <c r="D344" i="4"/>
  <c r="D238" i="4"/>
  <c r="D197" i="4"/>
  <c r="D13" i="4"/>
  <c r="D286" i="4"/>
  <c r="D15" i="4"/>
  <c r="D143" i="4"/>
  <c r="D139" i="4"/>
  <c r="D104" i="4"/>
  <c r="D93" i="4"/>
  <c r="D179" i="4"/>
  <c r="D282" i="4"/>
  <c r="D60" i="4"/>
  <c r="D355" i="4"/>
  <c r="D337" i="4"/>
  <c r="D356" i="4"/>
  <c r="D42" i="4"/>
  <c r="D246" i="4"/>
  <c r="D327" i="4"/>
  <c r="D198" i="4"/>
  <c r="D223" i="4"/>
  <c r="D66" i="4"/>
  <c r="D332" i="4"/>
  <c r="D78" i="4"/>
  <c r="D12" i="4"/>
  <c r="D302" i="4"/>
  <c r="D129" i="4"/>
  <c r="D308" i="4"/>
  <c r="D348" i="4"/>
  <c r="D262" i="4"/>
  <c r="D176" i="4"/>
  <c r="D77" i="4"/>
  <c r="D203" i="4"/>
  <c r="D33" i="4"/>
  <c r="D218" i="4"/>
  <c r="D358" i="4"/>
  <c r="D127" i="4"/>
  <c r="D204" i="4"/>
  <c r="D134" i="4"/>
  <c r="D319" i="4"/>
  <c r="D153" i="4"/>
  <c r="D11" i="4"/>
  <c r="D166" i="4"/>
  <c r="D271" i="4"/>
  <c r="D181" i="4"/>
  <c r="D236" i="4"/>
  <c r="D148" i="4"/>
  <c r="D37" i="4"/>
  <c r="D346" i="4"/>
  <c r="D351" i="4"/>
  <c r="D360" i="4"/>
  <c r="D259" i="4"/>
  <c r="D105" i="4"/>
  <c r="D228" i="4"/>
  <c r="D280" i="4"/>
  <c r="D55" i="4"/>
  <c r="D38" i="4"/>
  <c r="D320" i="4"/>
  <c r="D353" i="4"/>
  <c r="D126" i="4"/>
  <c r="D83" i="4"/>
  <c r="D39" i="4"/>
  <c r="D58" i="4"/>
  <c r="D86" i="4"/>
  <c r="D251" i="4"/>
  <c r="D175" i="4"/>
  <c r="D331" i="4"/>
  <c r="D258" i="4"/>
  <c r="D87" i="4"/>
  <c r="D184" i="4"/>
  <c r="D188" i="4"/>
  <c r="D209" i="4"/>
  <c r="D305" i="4"/>
  <c r="D50" i="4"/>
  <c r="D112" i="4"/>
  <c r="D135" i="4"/>
  <c r="D27" i="4"/>
  <c r="D322" i="4"/>
  <c r="D120" i="4"/>
  <c r="D32" i="4"/>
  <c r="D339" i="4"/>
  <c r="D4" i="4"/>
  <c r="D273" i="4"/>
  <c r="D268" i="4"/>
  <c r="D79" i="4"/>
  <c r="D130" i="4"/>
  <c r="D145" i="4"/>
  <c r="D199" i="4"/>
  <c r="D71" i="4"/>
  <c r="D189" i="4"/>
  <c r="D56" i="4"/>
  <c r="D65" i="4"/>
  <c r="D299" i="4"/>
  <c r="D157" i="4"/>
  <c r="D99" i="4"/>
  <c r="D255" i="4"/>
  <c r="D73" i="4"/>
  <c r="D208" i="4"/>
  <c r="D321" i="4"/>
  <c r="D140" i="4"/>
  <c r="D269" i="4"/>
  <c r="D293" i="4"/>
  <c r="D97" i="4"/>
  <c r="D342" i="4"/>
  <c r="D317" i="4"/>
  <c r="D214" i="4"/>
  <c r="D75" i="4"/>
  <c r="D247" i="4"/>
  <c r="D185" i="4"/>
  <c r="D125" i="4"/>
  <c r="D193" i="4"/>
  <c r="D229" i="4"/>
  <c r="D335" i="4"/>
  <c r="D108" i="4"/>
  <c r="D70" i="4"/>
  <c r="D137" i="4"/>
  <c r="D25" i="4"/>
  <c r="D328" i="4"/>
  <c r="D163" i="4"/>
  <c r="D119" i="4"/>
  <c r="D266" i="4"/>
  <c r="D144" i="4"/>
  <c r="D147" i="4"/>
  <c r="D241" i="4"/>
  <c r="D297" i="4"/>
  <c r="D28" i="4"/>
  <c r="D45" i="4"/>
  <c r="D253" i="4"/>
  <c r="D124" i="4"/>
  <c r="D89" i="4"/>
  <c r="D26" i="4"/>
  <c r="D224" i="4"/>
  <c r="D165" i="4"/>
  <c r="D237" i="4"/>
  <c r="D213" i="4"/>
  <c r="D152" i="4"/>
  <c r="D267" i="4"/>
  <c r="D84" i="4"/>
  <c r="D330" i="4"/>
  <c r="D254" i="4"/>
  <c r="D62" i="4"/>
  <c r="D43" i="4"/>
  <c r="D136" i="4"/>
  <c r="D10" i="4"/>
  <c r="D6" i="4"/>
  <c r="D276" i="4"/>
  <c r="D323" i="4"/>
  <c r="D40" i="4"/>
  <c r="D53" i="4"/>
  <c r="D277" i="4"/>
  <c r="D111" i="4"/>
  <c r="D287" i="4"/>
  <c r="D296" i="4"/>
  <c r="D169" i="4"/>
  <c r="D196" i="4"/>
  <c r="D284" i="4"/>
  <c r="D295" i="4"/>
  <c r="D300" i="4"/>
  <c r="D183" i="4"/>
  <c r="D275" i="4"/>
  <c r="D171" i="4"/>
  <c r="D45" i="6"/>
  <c r="D195" i="4"/>
  <c r="D9" i="4"/>
  <c r="D59" i="4"/>
  <c r="D201" i="4"/>
  <c r="D230" i="4"/>
  <c r="D233" i="4"/>
  <c r="D362" i="4"/>
  <c r="D161" i="4"/>
  <c r="D205" i="4"/>
  <c r="D123" i="4"/>
  <c r="D206" i="4"/>
  <c r="D359" i="4"/>
  <c r="D211" i="4"/>
  <c r="D298" i="4"/>
  <c r="D182" i="4"/>
  <c r="D311" i="4"/>
  <c r="D279" i="4"/>
  <c r="D260" i="4"/>
  <c r="D307" i="4"/>
  <c r="D334" i="4"/>
  <c r="D116" i="4"/>
  <c r="D301" i="4"/>
  <c r="D159" i="4"/>
  <c r="D200" i="4"/>
  <c r="D173" i="4"/>
  <c r="D23" i="4"/>
  <c r="D310" i="4"/>
  <c r="D294" i="4"/>
  <c r="D142" i="4"/>
  <c r="D226" i="4"/>
  <c r="D52" i="4"/>
  <c r="D363" i="4"/>
  <c r="D239" i="4"/>
  <c r="D47" i="4"/>
  <c r="D67" i="4"/>
  <c r="D20" i="4"/>
  <c r="D289" i="4"/>
  <c r="D265" i="4"/>
  <c r="D81" i="4"/>
  <c r="D102" i="4"/>
  <c r="D221" i="4"/>
  <c r="D138" i="4"/>
  <c r="D24" i="4"/>
  <c r="D103" i="4"/>
  <c r="D96" i="4"/>
  <c r="D109" i="4"/>
  <c r="D191" i="4"/>
  <c r="D216" i="4"/>
  <c r="D252" i="4"/>
  <c r="D180" i="4"/>
  <c r="D41" i="4"/>
  <c r="D100" i="4"/>
  <c r="D46" i="4"/>
  <c r="D285" i="4"/>
  <c r="D261" i="4"/>
  <c r="D217" i="4"/>
  <c r="D257" i="4"/>
  <c r="D162" i="4"/>
  <c r="D256" i="4"/>
  <c r="D234" i="4"/>
  <c r="D128" i="4"/>
  <c r="D313" i="4"/>
  <c r="D114" i="4"/>
  <c r="D132" i="4"/>
  <c r="D35" i="4"/>
  <c r="D118" i="4"/>
  <c r="D117" i="4"/>
  <c r="D220" i="4"/>
  <c r="D288" i="4"/>
  <c r="D22" i="4"/>
  <c r="D34" i="4"/>
  <c r="D215" i="4"/>
  <c r="D18" i="4"/>
  <c r="D243" i="4"/>
  <c r="D8" i="4"/>
  <c r="D48" i="4"/>
  <c r="D210" i="4"/>
  <c r="D212" i="4"/>
  <c r="D160" i="4"/>
  <c r="D110" i="4"/>
  <c r="D194" i="4"/>
  <c r="D316" i="4"/>
  <c r="D248" i="4"/>
  <c r="D325" i="4"/>
  <c r="D98" i="4"/>
  <c r="D19" i="4"/>
  <c r="D61" i="4"/>
  <c r="D14" i="4"/>
  <c r="D168" i="4"/>
  <c r="D156" i="4"/>
  <c r="D272" i="4"/>
  <c r="D16" i="4"/>
  <c r="D94" i="4"/>
  <c r="D232" i="4"/>
  <c r="D242" i="4"/>
  <c r="D51" i="4"/>
  <c r="D278" i="4"/>
  <c r="D264" i="4"/>
  <c r="D283" i="4"/>
  <c r="D29" i="4"/>
  <c r="D178" i="4"/>
  <c r="D54" i="4"/>
  <c r="D225" i="4"/>
  <c r="D155" i="4"/>
  <c r="D101" i="4"/>
  <c r="D85" i="4"/>
  <c r="D172" i="4"/>
  <c r="D36" i="4"/>
  <c r="D115" i="4"/>
  <c r="D21" i="4"/>
  <c r="D186" i="4"/>
  <c r="D63" i="4"/>
  <c r="D80" i="4"/>
  <c r="D17" i="4"/>
  <c r="D122" i="4"/>
  <c r="D207" i="4"/>
  <c r="D333" i="4"/>
  <c r="D190" i="4"/>
  <c r="D192" i="4"/>
  <c r="D146" i="4"/>
  <c r="D187" i="4"/>
  <c r="D350" i="4"/>
  <c r="D306" i="4"/>
  <c r="D106" i="4"/>
  <c r="D154" i="4"/>
  <c r="D240" i="4"/>
  <c r="D329" i="4"/>
  <c r="D76" i="4"/>
  <c r="D90" i="4"/>
  <c r="D68" i="4"/>
  <c r="D338" i="4"/>
  <c r="D141" i="4"/>
  <c r="D49" i="4"/>
  <c r="D149" i="4"/>
  <c r="D292" i="4"/>
  <c r="D36" i="6"/>
  <c r="D38" i="6" s="1"/>
  <c r="D31" i="4"/>
  <c r="D270" i="4"/>
  <c r="D174" i="4"/>
  <c r="D274" i="4"/>
  <c r="D131" i="4"/>
  <c r="E4" i="4"/>
  <c r="E5" i="4" s="1"/>
  <c r="E6" i="4" s="1"/>
  <c r="E7" i="4" s="1"/>
  <c r="E8" i="4" s="1"/>
  <c r="E9" i="4" s="1"/>
  <c r="E10" i="4" s="1"/>
  <c r="E11" i="4" s="1"/>
  <c r="E12" i="4" s="1"/>
  <c r="E13" i="4" s="1"/>
  <c r="E14" i="4" s="1"/>
  <c r="E15" i="4" s="1"/>
  <c r="D177" i="4"/>
  <c r="D354" i="4"/>
  <c r="D235" i="4"/>
  <c r="D133" i="4"/>
  <c r="D318" i="4"/>
  <c r="D314" i="4"/>
  <c r="D336" i="4"/>
  <c r="D227" i="4"/>
  <c r="D222" i="4"/>
  <c r="D150" i="4"/>
  <c r="D7" i="4"/>
  <c r="D312" i="4"/>
  <c r="D244" i="4"/>
  <c r="D170" i="4"/>
  <c r="D107" i="4"/>
  <c r="D249" i="4"/>
  <c r="D290" i="4"/>
  <c r="E52" i="11"/>
  <c r="E53" i="11" s="1"/>
  <c r="E54" i="11" s="1"/>
  <c r="E55" i="11" s="1"/>
  <c r="E56" i="11" s="1"/>
  <c r="E57" i="11" s="1"/>
  <c r="E58" i="11" s="1"/>
  <c r="E59" i="11" s="1"/>
  <c r="E60" i="11" s="1"/>
  <c r="E61" i="11" s="1"/>
  <c r="E62" i="11" s="1"/>
  <c r="E63" i="11" s="1"/>
  <c r="U10" i="10"/>
  <c r="N10" i="10" s="1"/>
  <c r="D38" i="10"/>
  <c r="H38" i="10" l="1"/>
  <c r="D19" i="12"/>
  <c r="X6" i="6"/>
  <c r="Z6" i="6" s="1"/>
  <c r="D48" i="6"/>
  <c r="D55" i="6" s="1"/>
  <c r="I52" i="6" s="1"/>
  <c r="E16" i="4"/>
  <c r="E17" i="4" s="1"/>
  <c r="E18" i="4" s="1"/>
  <c r="E19" i="4" s="1"/>
  <c r="E20" i="4" s="1"/>
  <c r="E21" i="4" s="1"/>
  <c r="E22" i="4" s="1"/>
  <c r="E23" i="4" s="1"/>
  <c r="E24" i="4" s="1"/>
  <c r="E25" i="4" s="1"/>
  <c r="E26" i="4" s="1"/>
  <c r="E27" i="4" s="1"/>
  <c r="U7" i="6"/>
  <c r="P21" i="10"/>
  <c r="E19" i="12"/>
  <c r="E64" i="11"/>
  <c r="E65" i="11" s="1"/>
  <c r="E66" i="11" s="1"/>
  <c r="E67" i="11" s="1"/>
  <c r="E68" i="11" s="1"/>
  <c r="E69" i="11" s="1"/>
  <c r="E70" i="11" s="1"/>
  <c r="E71" i="11" s="1"/>
  <c r="E72" i="11" s="1"/>
  <c r="E73" i="11" s="1"/>
  <c r="E74" i="11" s="1"/>
  <c r="E75" i="11" s="1"/>
  <c r="U11" i="10"/>
  <c r="N11" i="10" s="1"/>
  <c r="P33" i="10"/>
  <c r="P25" i="10"/>
  <c r="P34" i="10"/>
  <c r="P11" i="10"/>
  <c r="P7" i="10"/>
  <c r="O7" i="10" s="1"/>
  <c r="P16" i="10"/>
  <c r="P17" i="10"/>
  <c r="P23" i="10"/>
  <c r="P12" i="10"/>
  <c r="P29" i="10"/>
  <c r="P31" i="10"/>
  <c r="P8" i="10"/>
  <c r="O8" i="10" s="1"/>
  <c r="P32" i="10"/>
  <c r="P28" i="10"/>
  <c r="P22" i="10"/>
  <c r="P26" i="10"/>
  <c r="P10" i="10"/>
  <c r="O10" i="10" s="1"/>
  <c r="P18" i="10"/>
  <c r="P27" i="10"/>
  <c r="P9" i="10"/>
  <c r="O9" i="10" s="1"/>
  <c r="D26" i="10"/>
  <c r="P36" i="10"/>
  <c r="P30" i="10"/>
  <c r="P15" i="10"/>
  <c r="P35" i="10"/>
  <c r="P14" i="10"/>
  <c r="P24" i="10"/>
  <c r="P19" i="10"/>
  <c r="P13" i="10"/>
  <c r="P20" i="10"/>
  <c r="P9" i="6"/>
  <c r="P31" i="6"/>
  <c r="P22" i="6"/>
  <c r="P15" i="6"/>
  <c r="P26" i="6"/>
  <c r="P32" i="6"/>
  <c r="P27" i="6"/>
  <c r="P35" i="6"/>
  <c r="P29" i="6"/>
  <c r="P23" i="6"/>
  <c r="P12" i="6"/>
  <c r="P28" i="6"/>
  <c r="P10" i="6"/>
  <c r="P14" i="6"/>
  <c r="P36" i="6"/>
  <c r="P21" i="6"/>
  <c r="P25" i="6"/>
  <c r="P19" i="6"/>
  <c r="P30" i="6"/>
  <c r="P16" i="6"/>
  <c r="P34" i="6"/>
  <c r="P8" i="6"/>
  <c r="P7" i="6"/>
  <c r="P17" i="6"/>
  <c r="P11" i="6"/>
  <c r="D26" i="6"/>
  <c r="P20" i="6"/>
  <c r="P18" i="6"/>
  <c r="P33" i="6"/>
  <c r="P13" i="6"/>
  <c r="P24" i="6"/>
  <c r="E24" i="12" l="1"/>
  <c r="D32" i="10"/>
  <c r="E28" i="4"/>
  <c r="E29" i="4" s="1"/>
  <c r="E30" i="4" s="1"/>
  <c r="E31" i="4" s="1"/>
  <c r="E32" i="4" s="1"/>
  <c r="E33" i="4" s="1"/>
  <c r="E34" i="4" s="1"/>
  <c r="E35" i="4" s="1"/>
  <c r="E36" i="4" s="1"/>
  <c r="E37" i="4" s="1"/>
  <c r="E38" i="4" s="1"/>
  <c r="E39" i="4" s="1"/>
  <c r="U8" i="6"/>
  <c r="O11" i="10"/>
  <c r="U12" i="10"/>
  <c r="E76" i="11"/>
  <c r="E77" i="11" s="1"/>
  <c r="E78" i="11" s="1"/>
  <c r="E79" i="11" s="1"/>
  <c r="E80" i="11" s="1"/>
  <c r="E81" i="11" s="1"/>
  <c r="E82" i="11" s="1"/>
  <c r="E83" i="11" s="1"/>
  <c r="E84" i="11" s="1"/>
  <c r="E85" i="11" s="1"/>
  <c r="E86" i="11" s="1"/>
  <c r="E87" i="11" s="1"/>
  <c r="N12" i="10" l="1"/>
  <c r="O12" i="10" s="1"/>
  <c r="E40" i="4"/>
  <c r="E41" i="4" s="1"/>
  <c r="E42" i="4" s="1"/>
  <c r="E43" i="4" s="1"/>
  <c r="E44" i="4" s="1"/>
  <c r="E45" i="4" s="1"/>
  <c r="E46" i="4" s="1"/>
  <c r="E47" i="4" s="1"/>
  <c r="E48" i="4" s="1"/>
  <c r="E49" i="4" s="1"/>
  <c r="E50" i="4" s="1"/>
  <c r="E51" i="4" s="1"/>
  <c r="U9" i="6"/>
  <c r="E88" i="11"/>
  <c r="E89" i="11" s="1"/>
  <c r="E90" i="11" s="1"/>
  <c r="E91" i="11" s="1"/>
  <c r="E92" i="11" s="1"/>
  <c r="E93" i="11" s="1"/>
  <c r="E94" i="11" s="1"/>
  <c r="E95" i="11" s="1"/>
  <c r="E96" i="11" s="1"/>
  <c r="E97" i="11" s="1"/>
  <c r="E98" i="11" s="1"/>
  <c r="E99" i="11" s="1"/>
  <c r="U13" i="10"/>
  <c r="N13" i="10" l="1"/>
  <c r="O13" i="10" s="1"/>
  <c r="E52" i="4"/>
  <c r="E53" i="4" s="1"/>
  <c r="E54" i="4" s="1"/>
  <c r="E55" i="4" s="1"/>
  <c r="E56" i="4" s="1"/>
  <c r="E57" i="4" s="1"/>
  <c r="E58" i="4" s="1"/>
  <c r="E59" i="4" s="1"/>
  <c r="E60" i="4" s="1"/>
  <c r="E61" i="4" s="1"/>
  <c r="E62" i="4" s="1"/>
  <c r="E63" i="4" s="1"/>
  <c r="U10" i="6"/>
  <c r="U14" i="10"/>
  <c r="E100" i="11"/>
  <c r="E101" i="11" s="1"/>
  <c r="E102" i="11" s="1"/>
  <c r="E103" i="11" s="1"/>
  <c r="E104" i="11" s="1"/>
  <c r="E105" i="11" s="1"/>
  <c r="E106" i="11" s="1"/>
  <c r="E107" i="11" s="1"/>
  <c r="E108" i="11" s="1"/>
  <c r="E109" i="11" s="1"/>
  <c r="E110" i="11" s="1"/>
  <c r="E111" i="11" s="1"/>
  <c r="N14" i="10" l="1"/>
  <c r="O14" i="10" s="1"/>
  <c r="E64" i="4"/>
  <c r="E65" i="4" s="1"/>
  <c r="E66" i="4" s="1"/>
  <c r="E67" i="4" s="1"/>
  <c r="E68" i="4" s="1"/>
  <c r="E69" i="4" s="1"/>
  <c r="E70" i="4" s="1"/>
  <c r="E71" i="4" s="1"/>
  <c r="E72" i="4" s="1"/>
  <c r="E73" i="4" s="1"/>
  <c r="E74" i="4" s="1"/>
  <c r="E75" i="4" s="1"/>
  <c r="U11" i="6"/>
  <c r="E112" i="11"/>
  <c r="E113" i="11" s="1"/>
  <c r="E114" i="11" s="1"/>
  <c r="E115" i="11" s="1"/>
  <c r="E116" i="11" s="1"/>
  <c r="E117" i="11" s="1"/>
  <c r="E118" i="11" s="1"/>
  <c r="E119" i="11" s="1"/>
  <c r="E120" i="11" s="1"/>
  <c r="E121" i="11" s="1"/>
  <c r="E122" i="11" s="1"/>
  <c r="E123" i="11" s="1"/>
  <c r="U15" i="10"/>
  <c r="N15" i="10" l="1"/>
  <c r="O15" i="10" s="1"/>
  <c r="E76" i="4"/>
  <c r="E77" i="4" s="1"/>
  <c r="E78" i="4" s="1"/>
  <c r="E79" i="4" s="1"/>
  <c r="E80" i="4" s="1"/>
  <c r="E81" i="4" s="1"/>
  <c r="E82" i="4" s="1"/>
  <c r="E83" i="4" s="1"/>
  <c r="E84" i="4" s="1"/>
  <c r="E85" i="4" s="1"/>
  <c r="E86" i="4" s="1"/>
  <c r="E87" i="4" s="1"/>
  <c r="U12" i="6"/>
  <c r="E124" i="11"/>
  <c r="E125" i="11" s="1"/>
  <c r="E126" i="11" s="1"/>
  <c r="E127" i="11" s="1"/>
  <c r="E128" i="11" s="1"/>
  <c r="E129" i="11" s="1"/>
  <c r="E130" i="11" s="1"/>
  <c r="E131" i="11" s="1"/>
  <c r="E132" i="11" s="1"/>
  <c r="E133" i="11" s="1"/>
  <c r="E134" i="11" s="1"/>
  <c r="E135" i="11" s="1"/>
  <c r="U16" i="10"/>
  <c r="N16" i="10" l="1"/>
  <c r="O16" i="10" s="1"/>
  <c r="E88" i="4"/>
  <c r="E89" i="4" s="1"/>
  <c r="E90" i="4" s="1"/>
  <c r="E91" i="4" s="1"/>
  <c r="E92" i="4" s="1"/>
  <c r="E93" i="4" s="1"/>
  <c r="E94" i="4" s="1"/>
  <c r="E95" i="4" s="1"/>
  <c r="E96" i="4" s="1"/>
  <c r="E97" i="4" s="1"/>
  <c r="E98" i="4" s="1"/>
  <c r="E99" i="4" s="1"/>
  <c r="U13" i="6"/>
  <c r="E136" i="11"/>
  <c r="E137" i="11" s="1"/>
  <c r="E138" i="11" s="1"/>
  <c r="E139" i="11" s="1"/>
  <c r="E140" i="11" s="1"/>
  <c r="E141" i="11" s="1"/>
  <c r="E142" i="11" s="1"/>
  <c r="E143" i="11" s="1"/>
  <c r="E144" i="11" s="1"/>
  <c r="E145" i="11" s="1"/>
  <c r="E146" i="11" s="1"/>
  <c r="E147" i="11" s="1"/>
  <c r="U17" i="10"/>
  <c r="N17" i="10" l="1"/>
  <c r="O17" i="10" s="1"/>
  <c r="E100" i="4"/>
  <c r="E101" i="4" s="1"/>
  <c r="E102" i="4" s="1"/>
  <c r="E103" i="4" s="1"/>
  <c r="E104" i="4" s="1"/>
  <c r="E105" i="4" s="1"/>
  <c r="E106" i="4" s="1"/>
  <c r="E107" i="4" s="1"/>
  <c r="E108" i="4" s="1"/>
  <c r="E109" i="4" s="1"/>
  <c r="E110" i="4" s="1"/>
  <c r="E111" i="4" s="1"/>
  <c r="U14" i="6"/>
  <c r="U18" i="10"/>
  <c r="E148" i="11"/>
  <c r="E149" i="11" s="1"/>
  <c r="E150" i="11" s="1"/>
  <c r="E151" i="11" s="1"/>
  <c r="E152" i="11" s="1"/>
  <c r="E153" i="11" s="1"/>
  <c r="E154" i="11" s="1"/>
  <c r="E155" i="11" s="1"/>
  <c r="E156" i="11" s="1"/>
  <c r="E157" i="11" s="1"/>
  <c r="E158" i="11" s="1"/>
  <c r="E159" i="11" s="1"/>
  <c r="N18" i="10" l="1"/>
  <c r="O18" i="10" s="1"/>
  <c r="E112" i="4"/>
  <c r="E113" i="4" s="1"/>
  <c r="E114" i="4" s="1"/>
  <c r="E115" i="4" s="1"/>
  <c r="E116" i="4" s="1"/>
  <c r="E117" i="4" s="1"/>
  <c r="E118" i="4" s="1"/>
  <c r="E119" i="4" s="1"/>
  <c r="E120" i="4" s="1"/>
  <c r="E121" i="4" s="1"/>
  <c r="E122" i="4" s="1"/>
  <c r="E123" i="4" s="1"/>
  <c r="U15" i="6"/>
  <c r="U19" i="10"/>
  <c r="E160" i="11"/>
  <c r="E161" i="11" s="1"/>
  <c r="E162" i="11" s="1"/>
  <c r="E163" i="11" s="1"/>
  <c r="E164" i="11" s="1"/>
  <c r="E165" i="11" s="1"/>
  <c r="E166" i="11" s="1"/>
  <c r="E167" i="11" s="1"/>
  <c r="E168" i="11" s="1"/>
  <c r="E169" i="11" s="1"/>
  <c r="E170" i="11" s="1"/>
  <c r="E171" i="11" s="1"/>
  <c r="N19" i="10" l="1"/>
  <c r="O19" i="10" s="1"/>
  <c r="E124" i="4"/>
  <c r="E125" i="4" s="1"/>
  <c r="E126" i="4" s="1"/>
  <c r="E127" i="4" s="1"/>
  <c r="E128" i="4" s="1"/>
  <c r="E129" i="4" s="1"/>
  <c r="E130" i="4" s="1"/>
  <c r="E131" i="4" s="1"/>
  <c r="E132" i="4" s="1"/>
  <c r="E133" i="4" s="1"/>
  <c r="E134" i="4" s="1"/>
  <c r="E135" i="4" s="1"/>
  <c r="U16" i="6"/>
  <c r="E172" i="11"/>
  <c r="E173" i="11" s="1"/>
  <c r="E174" i="11" s="1"/>
  <c r="E175" i="11" s="1"/>
  <c r="E176" i="11" s="1"/>
  <c r="E177" i="11" s="1"/>
  <c r="E178" i="11" s="1"/>
  <c r="E179" i="11" s="1"/>
  <c r="E180" i="11" s="1"/>
  <c r="E181" i="11" s="1"/>
  <c r="E182" i="11" s="1"/>
  <c r="E183" i="11" s="1"/>
  <c r="U20" i="10"/>
  <c r="N20" i="10" l="1"/>
  <c r="O20" i="10" s="1"/>
  <c r="E136" i="4"/>
  <c r="E137" i="4" s="1"/>
  <c r="E138" i="4" s="1"/>
  <c r="E139" i="4" s="1"/>
  <c r="E140" i="4" s="1"/>
  <c r="E141" i="4" s="1"/>
  <c r="E142" i="4" s="1"/>
  <c r="E143" i="4" s="1"/>
  <c r="E144" i="4" s="1"/>
  <c r="E145" i="4" s="1"/>
  <c r="E146" i="4" s="1"/>
  <c r="E147" i="4" s="1"/>
  <c r="U17" i="6"/>
  <c r="E184" i="11"/>
  <c r="E185" i="11" s="1"/>
  <c r="E186" i="11" s="1"/>
  <c r="E187" i="11" s="1"/>
  <c r="E188" i="11" s="1"/>
  <c r="E189" i="11" s="1"/>
  <c r="E190" i="11" s="1"/>
  <c r="E191" i="11" s="1"/>
  <c r="E192" i="11" s="1"/>
  <c r="E193" i="11" s="1"/>
  <c r="E194" i="11" s="1"/>
  <c r="E195" i="11" s="1"/>
  <c r="U21" i="10"/>
  <c r="N21" i="10" l="1"/>
  <c r="O21" i="10" s="1"/>
  <c r="E148" i="4"/>
  <c r="E149" i="4" s="1"/>
  <c r="E150" i="4" s="1"/>
  <c r="E151" i="4" s="1"/>
  <c r="E152" i="4" s="1"/>
  <c r="E153" i="4" s="1"/>
  <c r="E154" i="4" s="1"/>
  <c r="E155" i="4" s="1"/>
  <c r="E156" i="4" s="1"/>
  <c r="E157" i="4" s="1"/>
  <c r="E158" i="4" s="1"/>
  <c r="E159" i="4" s="1"/>
  <c r="U18" i="6"/>
  <c r="E196" i="11"/>
  <c r="E197" i="11" s="1"/>
  <c r="E198" i="11" s="1"/>
  <c r="E199" i="11" s="1"/>
  <c r="E200" i="11" s="1"/>
  <c r="E201" i="11" s="1"/>
  <c r="E202" i="11" s="1"/>
  <c r="E203" i="11" s="1"/>
  <c r="E204" i="11" s="1"/>
  <c r="E205" i="11" s="1"/>
  <c r="E206" i="11" s="1"/>
  <c r="E207" i="11" s="1"/>
  <c r="U22" i="10"/>
  <c r="N22" i="10" l="1"/>
  <c r="O22" i="10" s="1"/>
  <c r="E160" i="4"/>
  <c r="E161" i="4" s="1"/>
  <c r="E162" i="4" s="1"/>
  <c r="E163" i="4" s="1"/>
  <c r="E164" i="4" s="1"/>
  <c r="E165" i="4" s="1"/>
  <c r="E166" i="4" s="1"/>
  <c r="E167" i="4" s="1"/>
  <c r="E168" i="4" s="1"/>
  <c r="E169" i="4" s="1"/>
  <c r="E170" i="4" s="1"/>
  <c r="E171" i="4" s="1"/>
  <c r="U19" i="6"/>
  <c r="E208" i="11"/>
  <c r="E209" i="11" s="1"/>
  <c r="E210" i="11" s="1"/>
  <c r="E211" i="11" s="1"/>
  <c r="E212" i="11" s="1"/>
  <c r="E213" i="11" s="1"/>
  <c r="E214" i="11" s="1"/>
  <c r="E215" i="11" s="1"/>
  <c r="E216" i="11" s="1"/>
  <c r="E217" i="11" s="1"/>
  <c r="E218" i="11" s="1"/>
  <c r="E219" i="11" s="1"/>
  <c r="U23" i="10"/>
  <c r="N23" i="10" l="1"/>
  <c r="O23" i="10" s="1"/>
  <c r="U20" i="6"/>
  <c r="E172" i="4"/>
  <c r="E173" i="4" s="1"/>
  <c r="E174" i="4" s="1"/>
  <c r="E175" i="4" s="1"/>
  <c r="E176" i="4" s="1"/>
  <c r="E177" i="4" s="1"/>
  <c r="E178" i="4" s="1"/>
  <c r="E179" i="4" s="1"/>
  <c r="E180" i="4" s="1"/>
  <c r="E181" i="4" s="1"/>
  <c r="E182" i="4" s="1"/>
  <c r="E183" i="4" s="1"/>
  <c r="Y21" i="6" s="1"/>
  <c r="E220" i="11"/>
  <c r="E221" i="11" s="1"/>
  <c r="E222" i="11" s="1"/>
  <c r="E223" i="11" s="1"/>
  <c r="E224" i="11" s="1"/>
  <c r="E225" i="11" s="1"/>
  <c r="E226" i="11" s="1"/>
  <c r="E227" i="11" s="1"/>
  <c r="E228" i="11" s="1"/>
  <c r="E229" i="11" s="1"/>
  <c r="E230" i="11" s="1"/>
  <c r="E231" i="11" s="1"/>
  <c r="U24" i="10"/>
  <c r="N24" i="10" l="1"/>
  <c r="O24" i="10" s="1"/>
  <c r="H35" i="6"/>
  <c r="D21" i="12" s="1"/>
  <c r="E184" i="4"/>
  <c r="E185" i="4" s="1"/>
  <c r="E186" i="4" s="1"/>
  <c r="E187" i="4" s="1"/>
  <c r="E188" i="4" s="1"/>
  <c r="E189" i="4" s="1"/>
  <c r="E190" i="4" s="1"/>
  <c r="E191" i="4" s="1"/>
  <c r="E192" i="4" s="1"/>
  <c r="E193" i="4" s="1"/>
  <c r="E194" i="4" s="1"/>
  <c r="E195" i="4" s="1"/>
  <c r="U21" i="6"/>
  <c r="E232" i="11"/>
  <c r="E233" i="11" s="1"/>
  <c r="E234" i="11" s="1"/>
  <c r="E235" i="11" s="1"/>
  <c r="E236" i="11" s="1"/>
  <c r="E237" i="11" s="1"/>
  <c r="E238" i="11" s="1"/>
  <c r="E239" i="11" s="1"/>
  <c r="E240" i="11" s="1"/>
  <c r="E241" i="11" s="1"/>
  <c r="E242" i="11" s="1"/>
  <c r="E243" i="11" s="1"/>
  <c r="U25" i="10"/>
  <c r="N25" i="10" l="1"/>
  <c r="O25" i="10" s="1"/>
  <c r="E196" i="4"/>
  <c r="E197" i="4" s="1"/>
  <c r="E198" i="4" s="1"/>
  <c r="E199" i="4" s="1"/>
  <c r="E200" i="4" s="1"/>
  <c r="E201" i="4" s="1"/>
  <c r="E202" i="4" s="1"/>
  <c r="E203" i="4" s="1"/>
  <c r="E204" i="4" s="1"/>
  <c r="E205" i="4" s="1"/>
  <c r="E206" i="4" s="1"/>
  <c r="E207" i="4" s="1"/>
  <c r="U22" i="6"/>
  <c r="D29" i="10"/>
  <c r="E244" i="11"/>
  <c r="E245" i="11" s="1"/>
  <c r="E246" i="11" s="1"/>
  <c r="E247" i="11" s="1"/>
  <c r="E248" i="11" s="1"/>
  <c r="E249" i="11" s="1"/>
  <c r="E250" i="11" s="1"/>
  <c r="E251" i="11" s="1"/>
  <c r="E252" i="11" s="1"/>
  <c r="E253" i="11" s="1"/>
  <c r="E254" i="11" s="1"/>
  <c r="E255" i="11" s="1"/>
  <c r="U26" i="10"/>
  <c r="N26" i="10" l="1"/>
  <c r="O26" i="10" s="1"/>
  <c r="D31" i="10"/>
  <c r="E208" i="4"/>
  <c r="E209" i="4" s="1"/>
  <c r="E210" i="4" s="1"/>
  <c r="E211" i="4" s="1"/>
  <c r="E212" i="4" s="1"/>
  <c r="E213" i="4" s="1"/>
  <c r="E214" i="4" s="1"/>
  <c r="E215" i="4" s="1"/>
  <c r="E216" i="4" s="1"/>
  <c r="E217" i="4" s="1"/>
  <c r="E218" i="4" s="1"/>
  <c r="E219" i="4" s="1"/>
  <c r="U23" i="6"/>
  <c r="E256" i="11"/>
  <c r="E257" i="11" s="1"/>
  <c r="E258" i="11" s="1"/>
  <c r="E259" i="11" s="1"/>
  <c r="E260" i="11" s="1"/>
  <c r="E261" i="11" s="1"/>
  <c r="E262" i="11" s="1"/>
  <c r="E263" i="11" s="1"/>
  <c r="E264" i="11" s="1"/>
  <c r="E265" i="11" s="1"/>
  <c r="E266" i="11" s="1"/>
  <c r="E267" i="11" s="1"/>
  <c r="U27" i="10"/>
  <c r="N27" i="10" l="1"/>
  <c r="O27" i="10" s="1"/>
  <c r="U24" i="6"/>
  <c r="E220" i="4"/>
  <c r="E221" i="4" s="1"/>
  <c r="E222" i="4" s="1"/>
  <c r="E223" i="4" s="1"/>
  <c r="E224" i="4" s="1"/>
  <c r="E225" i="4" s="1"/>
  <c r="E226" i="4" s="1"/>
  <c r="E227" i="4" s="1"/>
  <c r="E228" i="4" s="1"/>
  <c r="E229" i="4" s="1"/>
  <c r="E230" i="4" s="1"/>
  <c r="E231" i="4" s="1"/>
  <c r="E23" i="12"/>
  <c r="E268" i="11"/>
  <c r="E269" i="11" s="1"/>
  <c r="E270" i="11" s="1"/>
  <c r="E271" i="11" s="1"/>
  <c r="E272" i="11" s="1"/>
  <c r="E273" i="11" s="1"/>
  <c r="E274" i="11" s="1"/>
  <c r="E275" i="11" s="1"/>
  <c r="E276" i="11" s="1"/>
  <c r="E277" i="11" s="1"/>
  <c r="E278" i="11" s="1"/>
  <c r="E279" i="11" s="1"/>
  <c r="U28" i="10"/>
  <c r="N28" i="10" l="1"/>
  <c r="O28" i="10" s="1"/>
  <c r="U25" i="6"/>
  <c r="E232" i="4"/>
  <c r="E233" i="4" s="1"/>
  <c r="E234" i="4" s="1"/>
  <c r="E235" i="4" s="1"/>
  <c r="E236" i="4" s="1"/>
  <c r="E237" i="4" s="1"/>
  <c r="E238" i="4" s="1"/>
  <c r="E239" i="4" s="1"/>
  <c r="E240" i="4" s="1"/>
  <c r="E241" i="4" s="1"/>
  <c r="E242" i="4" s="1"/>
  <c r="E243" i="4" s="1"/>
  <c r="U29" i="10"/>
  <c r="E280" i="11"/>
  <c r="E281" i="11" s="1"/>
  <c r="E282" i="11" s="1"/>
  <c r="E283" i="11" s="1"/>
  <c r="E284" i="11" s="1"/>
  <c r="E285" i="11" s="1"/>
  <c r="E286" i="11" s="1"/>
  <c r="E287" i="11" s="1"/>
  <c r="E288" i="11" s="1"/>
  <c r="E289" i="11" s="1"/>
  <c r="E290" i="11" s="1"/>
  <c r="E291" i="11" s="1"/>
  <c r="N29" i="10" l="1"/>
  <c r="O29" i="10" s="1"/>
  <c r="E244" i="4"/>
  <c r="E245" i="4" s="1"/>
  <c r="E246" i="4" s="1"/>
  <c r="E247" i="4" s="1"/>
  <c r="E248" i="4" s="1"/>
  <c r="E249" i="4" s="1"/>
  <c r="E250" i="4" s="1"/>
  <c r="E251" i="4" s="1"/>
  <c r="E252" i="4" s="1"/>
  <c r="E253" i="4" s="1"/>
  <c r="E254" i="4" s="1"/>
  <c r="E255" i="4" s="1"/>
  <c r="U26" i="6"/>
  <c r="E292" i="11"/>
  <c r="E293" i="11" s="1"/>
  <c r="E294" i="11" s="1"/>
  <c r="E295" i="11" s="1"/>
  <c r="E296" i="11" s="1"/>
  <c r="E297" i="11" s="1"/>
  <c r="E298" i="11" s="1"/>
  <c r="E299" i="11" s="1"/>
  <c r="E300" i="11" s="1"/>
  <c r="E301" i="11" s="1"/>
  <c r="E302" i="11" s="1"/>
  <c r="E303" i="11" s="1"/>
  <c r="U30" i="10"/>
  <c r="N30" i="10" l="1"/>
  <c r="O30" i="10" s="1"/>
  <c r="U27" i="6"/>
  <c r="E256" i="4"/>
  <c r="E257" i="4" s="1"/>
  <c r="E258" i="4" s="1"/>
  <c r="E259" i="4" s="1"/>
  <c r="E260" i="4" s="1"/>
  <c r="E261" i="4" s="1"/>
  <c r="E262" i="4" s="1"/>
  <c r="E263" i="4" s="1"/>
  <c r="E264" i="4" s="1"/>
  <c r="E265" i="4" s="1"/>
  <c r="E266" i="4" s="1"/>
  <c r="E267" i="4" s="1"/>
  <c r="E304" i="11"/>
  <c r="E305" i="11" s="1"/>
  <c r="E306" i="11" s="1"/>
  <c r="E307" i="11" s="1"/>
  <c r="E308" i="11" s="1"/>
  <c r="E309" i="11" s="1"/>
  <c r="E310" i="11" s="1"/>
  <c r="E311" i="11" s="1"/>
  <c r="E312" i="11" s="1"/>
  <c r="E313" i="11" s="1"/>
  <c r="E314" i="11" s="1"/>
  <c r="E315" i="11" s="1"/>
  <c r="U31" i="10"/>
  <c r="N31" i="10" l="1"/>
  <c r="O31" i="10" s="1"/>
  <c r="E268" i="4"/>
  <c r="E269" i="4" s="1"/>
  <c r="E270" i="4" s="1"/>
  <c r="E271" i="4" s="1"/>
  <c r="E272" i="4" s="1"/>
  <c r="E273" i="4" s="1"/>
  <c r="E274" i="4" s="1"/>
  <c r="E275" i="4" s="1"/>
  <c r="E276" i="4" s="1"/>
  <c r="E277" i="4" s="1"/>
  <c r="E278" i="4" s="1"/>
  <c r="E279" i="4" s="1"/>
  <c r="U28" i="6"/>
  <c r="U32" i="10"/>
  <c r="E316" i="11"/>
  <c r="E317" i="11" s="1"/>
  <c r="E318" i="11" s="1"/>
  <c r="E319" i="11" s="1"/>
  <c r="E320" i="11" s="1"/>
  <c r="E321" i="11" s="1"/>
  <c r="E322" i="11" s="1"/>
  <c r="E323" i="11" s="1"/>
  <c r="E324" i="11" s="1"/>
  <c r="E325" i="11" s="1"/>
  <c r="E326" i="11" s="1"/>
  <c r="E327" i="11" s="1"/>
  <c r="N32" i="10" l="1"/>
  <c r="O32" i="10" s="1"/>
  <c r="E280" i="4"/>
  <c r="E281" i="4" s="1"/>
  <c r="E282" i="4" s="1"/>
  <c r="E283" i="4" s="1"/>
  <c r="E284" i="4" s="1"/>
  <c r="E285" i="4" s="1"/>
  <c r="E286" i="4" s="1"/>
  <c r="E287" i="4" s="1"/>
  <c r="E288" i="4" s="1"/>
  <c r="E289" i="4" s="1"/>
  <c r="E290" i="4" s="1"/>
  <c r="E291" i="4" s="1"/>
  <c r="U29" i="6"/>
  <c r="E328" i="11"/>
  <c r="E329" i="11" s="1"/>
  <c r="E330" i="11" s="1"/>
  <c r="E331" i="11" s="1"/>
  <c r="E332" i="11" s="1"/>
  <c r="E333" i="11" s="1"/>
  <c r="E334" i="11" s="1"/>
  <c r="E335" i="11" s="1"/>
  <c r="E336" i="11" s="1"/>
  <c r="E337" i="11" s="1"/>
  <c r="E338" i="11" s="1"/>
  <c r="E339" i="11" s="1"/>
  <c r="U33" i="10"/>
  <c r="N33" i="10" l="1"/>
  <c r="O33" i="10" s="1"/>
  <c r="E292" i="4"/>
  <c r="E293" i="4" s="1"/>
  <c r="E294" i="4" s="1"/>
  <c r="E295" i="4" s="1"/>
  <c r="E296" i="4" s="1"/>
  <c r="E297" i="4" s="1"/>
  <c r="E298" i="4" s="1"/>
  <c r="E299" i="4" s="1"/>
  <c r="E300" i="4" s="1"/>
  <c r="E301" i="4" s="1"/>
  <c r="E302" i="4" s="1"/>
  <c r="E303" i="4" s="1"/>
  <c r="U30" i="6"/>
  <c r="E340" i="11"/>
  <c r="E341" i="11" s="1"/>
  <c r="E342" i="11" s="1"/>
  <c r="E343" i="11" s="1"/>
  <c r="E344" i="11" s="1"/>
  <c r="E345" i="11" s="1"/>
  <c r="E346" i="11" s="1"/>
  <c r="E347" i="11" s="1"/>
  <c r="E348" i="11" s="1"/>
  <c r="E349" i="11" s="1"/>
  <c r="E350" i="11" s="1"/>
  <c r="E351" i="11" s="1"/>
  <c r="U34" i="10"/>
  <c r="N34" i="10" l="1"/>
  <c r="O34" i="10" s="1"/>
  <c r="E304" i="4"/>
  <c r="E305" i="4" s="1"/>
  <c r="E306" i="4" s="1"/>
  <c r="E307" i="4" s="1"/>
  <c r="E308" i="4" s="1"/>
  <c r="E309" i="4" s="1"/>
  <c r="E310" i="4" s="1"/>
  <c r="E311" i="4" s="1"/>
  <c r="E312" i="4" s="1"/>
  <c r="E313" i="4" s="1"/>
  <c r="E314" i="4" s="1"/>
  <c r="E315" i="4" s="1"/>
  <c r="U31" i="6"/>
  <c r="E352" i="11"/>
  <c r="E353" i="11" s="1"/>
  <c r="E354" i="11" s="1"/>
  <c r="E355" i="11" s="1"/>
  <c r="E356" i="11" s="1"/>
  <c r="E357" i="11" s="1"/>
  <c r="E358" i="11" s="1"/>
  <c r="E359" i="11" s="1"/>
  <c r="E360" i="11" s="1"/>
  <c r="E361" i="11" s="1"/>
  <c r="E362" i="11" s="1"/>
  <c r="E363" i="11" s="1"/>
  <c r="U36" i="10" s="1"/>
  <c r="U35" i="10"/>
  <c r="N36" i="10" l="1"/>
  <c r="O36" i="10" s="1"/>
  <c r="N35" i="10"/>
  <c r="O35" i="10" s="1"/>
  <c r="E316" i="4"/>
  <c r="E317" i="4" s="1"/>
  <c r="E318" i="4" s="1"/>
  <c r="E319" i="4" s="1"/>
  <c r="E320" i="4" s="1"/>
  <c r="E321" i="4" s="1"/>
  <c r="E322" i="4" s="1"/>
  <c r="E323" i="4" s="1"/>
  <c r="E324" i="4" s="1"/>
  <c r="E325" i="4" s="1"/>
  <c r="E326" i="4" s="1"/>
  <c r="E327" i="4" s="1"/>
  <c r="U32" i="6"/>
  <c r="E328" i="4" l="1"/>
  <c r="E329" i="4" s="1"/>
  <c r="E330" i="4" s="1"/>
  <c r="E331" i="4" s="1"/>
  <c r="E332" i="4" s="1"/>
  <c r="E333" i="4" s="1"/>
  <c r="E334" i="4" s="1"/>
  <c r="E335" i="4" s="1"/>
  <c r="E336" i="4" s="1"/>
  <c r="E337" i="4" s="1"/>
  <c r="E338" i="4" s="1"/>
  <c r="E339" i="4" s="1"/>
  <c r="U33" i="6"/>
  <c r="E340" i="4" l="1"/>
  <c r="E341" i="4" s="1"/>
  <c r="E342" i="4" s="1"/>
  <c r="E343" i="4" s="1"/>
  <c r="E344" i="4" s="1"/>
  <c r="E345" i="4" s="1"/>
  <c r="E346" i="4" s="1"/>
  <c r="E347" i="4" s="1"/>
  <c r="E348" i="4" s="1"/>
  <c r="E349" i="4" s="1"/>
  <c r="E350" i="4" s="1"/>
  <c r="E351" i="4" s="1"/>
  <c r="U34" i="6"/>
  <c r="E352" i="4" l="1"/>
  <c r="E353" i="4" s="1"/>
  <c r="E354" i="4" s="1"/>
  <c r="E355" i="4" s="1"/>
  <c r="E356" i="4" s="1"/>
  <c r="E357" i="4" s="1"/>
  <c r="E358" i="4" s="1"/>
  <c r="E359" i="4" s="1"/>
  <c r="E360" i="4" s="1"/>
  <c r="E361" i="4" s="1"/>
  <c r="E362" i="4" s="1"/>
  <c r="E363" i="4" s="1"/>
  <c r="U36" i="6" s="1"/>
  <c r="U35" i="6"/>
  <c r="D27" i="8" l="1"/>
  <c r="D28" i="8"/>
  <c r="H41" i="8"/>
  <c r="W21" i="8" l="1"/>
  <c r="N21" i="8" s="1"/>
  <c r="O21" i="8" s="1"/>
  <c r="W27" i="8"/>
  <c r="N27" i="8" s="1"/>
  <c r="O27" i="8" s="1"/>
  <c r="W19" i="8"/>
  <c r="N19" i="8" s="1"/>
  <c r="O19" i="8" s="1"/>
  <c r="W12" i="8"/>
  <c r="N12" i="8" s="1"/>
  <c r="O12" i="8" s="1"/>
  <c r="W8" i="8"/>
  <c r="N8" i="8" s="1"/>
  <c r="O8" i="8" s="1"/>
  <c r="W7" i="8"/>
  <c r="N7" i="8" s="1"/>
  <c r="O7" i="8" s="1"/>
  <c r="W26" i="8"/>
  <c r="N26" i="8" s="1"/>
  <c r="O26" i="8" s="1"/>
  <c r="W24" i="8"/>
  <c r="N24" i="8" s="1"/>
  <c r="O24" i="8" s="1"/>
  <c r="W31" i="8"/>
  <c r="N31" i="8" s="1"/>
  <c r="O31" i="8" s="1"/>
  <c r="D32" i="8"/>
  <c r="W23" i="8"/>
  <c r="N23" i="8" s="1"/>
  <c r="O23" i="8" s="1"/>
  <c r="W16" i="8"/>
  <c r="N16" i="8" s="1"/>
  <c r="O16" i="8" s="1"/>
  <c r="W15" i="8"/>
  <c r="N15" i="8" s="1"/>
  <c r="O15" i="8" s="1"/>
  <c r="W32" i="8"/>
  <c r="N32" i="8" s="1"/>
  <c r="O32" i="8" s="1"/>
  <c r="W18" i="8"/>
  <c r="N18" i="8" s="1"/>
  <c r="O18" i="8" s="1"/>
  <c r="W20" i="8"/>
  <c r="N20" i="8" s="1"/>
  <c r="O20" i="8" s="1"/>
  <c r="W30" i="8"/>
  <c r="N30" i="8" s="1"/>
  <c r="O30" i="8" s="1"/>
  <c r="W10" i="8"/>
  <c r="N10" i="8" s="1"/>
  <c r="O10" i="8" s="1"/>
  <c r="W14" i="8"/>
  <c r="N14" i="8" s="1"/>
  <c r="O14" i="8" s="1"/>
  <c r="W29" i="8"/>
  <c r="N29" i="8" s="1"/>
  <c r="O29" i="8" s="1"/>
  <c r="W25" i="8"/>
  <c r="N25" i="8" s="1"/>
  <c r="O25" i="8" s="1"/>
  <c r="W35" i="8"/>
  <c r="N35" i="8" s="1"/>
  <c r="O35" i="8" s="1"/>
  <c r="W13" i="8"/>
  <c r="N13" i="8" s="1"/>
  <c r="O13" i="8" s="1"/>
  <c r="W36" i="8"/>
  <c r="N36" i="8" s="1"/>
  <c r="O36" i="8" s="1"/>
  <c r="W28" i="8"/>
  <c r="N28" i="8" s="1"/>
  <c r="O28" i="8" s="1"/>
  <c r="W34" i="8"/>
  <c r="N34" i="8" s="1"/>
  <c r="O34" i="8" s="1"/>
  <c r="W22" i="8"/>
  <c r="N22" i="8" s="1"/>
  <c r="O22" i="8" s="1"/>
  <c r="W33" i="8"/>
  <c r="N33" i="8" s="1"/>
  <c r="O33" i="8" s="1"/>
  <c r="W9" i="8"/>
  <c r="N9" i="8" s="1"/>
  <c r="O9" i="8" s="1"/>
  <c r="W11" i="8"/>
  <c r="N11" i="8" s="1"/>
  <c r="O11" i="8" s="1"/>
  <c r="W17" i="8"/>
  <c r="N17" i="8" s="1"/>
  <c r="O17" i="8" s="1"/>
  <c r="C25" i="12" l="1"/>
  <c r="H40" i="8"/>
  <c r="H42" i="8" l="1"/>
  <c r="D30" i="8" s="1"/>
  <c r="D29" i="8"/>
  <c r="C24" i="12" l="1"/>
  <c r="C23" i="12"/>
  <c r="H26" i="6"/>
  <c r="H27" i="6" s="1"/>
  <c r="D27" i="6" l="1"/>
  <c r="H28" i="6"/>
  <c r="D28" i="6" s="1"/>
  <c r="D32" i="6"/>
  <c r="I26" i="6"/>
  <c r="I27" i="6" l="1"/>
  <c r="I28" i="6"/>
  <c r="H42" i="6" s="1"/>
  <c r="W23" i="6" l="1"/>
  <c r="N23" i="6" s="1"/>
  <c r="O23" i="6" s="1"/>
  <c r="X24" i="6"/>
  <c r="X15" i="6"/>
  <c r="Z15" i="6" s="1"/>
  <c r="X30" i="6"/>
  <c r="X14" i="6"/>
  <c r="Z14" i="6" s="1"/>
  <c r="X23" i="6"/>
  <c r="X36" i="6"/>
  <c r="X29" i="6"/>
  <c r="X13" i="6"/>
  <c r="Z13" i="6" s="1"/>
  <c r="X28" i="6"/>
  <c r="X21" i="6"/>
  <c r="Z21" i="6" s="1"/>
  <c r="X11" i="6"/>
  <c r="Z11" i="6" s="1"/>
  <c r="X18" i="6"/>
  <c r="Z18" i="6" s="1"/>
  <c r="X34" i="6"/>
  <c r="X20" i="6"/>
  <c r="Z20" i="6" s="1"/>
  <c r="X27" i="6"/>
  <c r="X10" i="6"/>
  <c r="Z10" i="6" s="1"/>
  <c r="X19" i="6"/>
  <c r="Z19" i="6" s="1"/>
  <c r="X33" i="6"/>
  <c r="X9" i="6"/>
  <c r="Z9" i="6" s="1"/>
  <c r="X26" i="6"/>
  <c r="X32" i="6"/>
  <c r="X17" i="6"/>
  <c r="Z17" i="6" s="1"/>
  <c r="X25" i="6"/>
  <c r="X7" i="6"/>
  <c r="Z7" i="6" s="1"/>
  <c r="X16" i="6"/>
  <c r="Z16" i="6" s="1"/>
  <c r="X31" i="6"/>
  <c r="X22" i="6"/>
  <c r="X35" i="6"/>
  <c r="X12" i="6"/>
  <c r="Z12" i="6" s="1"/>
  <c r="X8" i="6"/>
  <c r="Z8" i="6" s="1"/>
  <c r="W17" i="6"/>
  <c r="N17" i="6" s="1"/>
  <c r="O17" i="6" s="1"/>
  <c r="W31" i="6"/>
  <c r="N31" i="6" s="1"/>
  <c r="O31" i="6" s="1"/>
  <c r="W26" i="6"/>
  <c r="N26" i="6" s="1"/>
  <c r="O26" i="6" s="1"/>
  <c r="W20" i="6"/>
  <c r="N20" i="6" s="1"/>
  <c r="O20" i="6" s="1"/>
  <c r="W36" i="6"/>
  <c r="N36" i="6" s="1"/>
  <c r="O36" i="6" s="1"/>
  <c r="W35" i="6"/>
  <c r="N35" i="6" s="1"/>
  <c r="O35" i="6" s="1"/>
  <c r="W25" i="6"/>
  <c r="N25" i="6" s="1"/>
  <c r="O25" i="6" s="1"/>
  <c r="W16" i="6"/>
  <c r="N16" i="6" s="1"/>
  <c r="O16" i="6" s="1"/>
  <c r="H38" i="6"/>
  <c r="W15" i="6"/>
  <c r="N15" i="6" s="1"/>
  <c r="O15" i="6" s="1"/>
  <c r="W19" i="6"/>
  <c r="N19" i="6" s="1"/>
  <c r="O19" i="6" s="1"/>
  <c r="W7" i="6"/>
  <c r="N7" i="6" s="1"/>
  <c r="O7" i="6" s="1"/>
  <c r="W30" i="6"/>
  <c r="N30" i="6" s="1"/>
  <c r="O30" i="6" s="1"/>
  <c r="W21" i="6"/>
  <c r="N21" i="6" s="1"/>
  <c r="O21" i="6" s="1"/>
  <c r="W28" i="6"/>
  <c r="N28" i="6" s="1"/>
  <c r="O28" i="6" s="1"/>
  <c r="W18" i="6"/>
  <c r="N18" i="6" s="1"/>
  <c r="O18" i="6" s="1"/>
  <c r="W32" i="6"/>
  <c r="N32" i="6" s="1"/>
  <c r="O32" i="6" s="1"/>
  <c r="W12" i="6"/>
  <c r="N12" i="6" s="1"/>
  <c r="O12" i="6" s="1"/>
  <c r="W13" i="6"/>
  <c r="N13" i="6" s="1"/>
  <c r="O13" i="6" s="1"/>
  <c r="W22" i="6"/>
  <c r="N22" i="6" s="1"/>
  <c r="O22" i="6" s="1"/>
  <c r="W34" i="6"/>
  <c r="N34" i="6" s="1"/>
  <c r="O34" i="6" s="1"/>
  <c r="W9" i="6"/>
  <c r="N9" i="6" s="1"/>
  <c r="O9" i="6" s="1"/>
  <c r="W27" i="6"/>
  <c r="N27" i="6" s="1"/>
  <c r="O27" i="6" s="1"/>
  <c r="W33" i="6"/>
  <c r="N33" i="6" s="1"/>
  <c r="O33" i="6" s="1"/>
  <c r="W8" i="6"/>
  <c r="N8" i="6" s="1"/>
  <c r="O8" i="6" s="1"/>
  <c r="W24" i="6"/>
  <c r="N24" i="6" s="1"/>
  <c r="O24" i="6" s="1"/>
  <c r="W10" i="6"/>
  <c r="N10" i="6" s="1"/>
  <c r="O10" i="6" s="1"/>
  <c r="W29" i="6"/>
  <c r="N29" i="6" s="1"/>
  <c r="O29" i="6" s="1"/>
  <c r="W11" i="6"/>
  <c r="N11" i="6" s="1"/>
  <c r="O11" i="6" s="1"/>
  <c r="W14" i="6"/>
  <c r="N14" i="6" s="1"/>
  <c r="O14" i="6" s="1"/>
  <c r="H39" i="6" l="1"/>
  <c r="D29" i="6" s="1"/>
  <c r="D20" i="12"/>
  <c r="H41" i="6"/>
  <c r="D26" i="12" s="1"/>
  <c r="D27" i="12" s="1"/>
  <c r="H44" i="6"/>
  <c r="D29" i="12" s="1"/>
  <c r="D23" i="12" l="1"/>
  <c r="H43" i="6"/>
  <c r="D24" i="12" s="1"/>
  <c r="D31" i="6"/>
  <c r="D30" i="6" l="1"/>
</calcChain>
</file>

<file path=xl/sharedStrings.xml><?xml version="1.0" encoding="utf-8"?>
<sst xmlns="http://schemas.openxmlformats.org/spreadsheetml/2006/main" count="306" uniqueCount="143">
  <si>
    <t>Summary</t>
  </si>
  <si>
    <t>List Price</t>
  </si>
  <si>
    <t>Investment Capital Needed</t>
  </si>
  <si>
    <t>Total Projected Profit</t>
  </si>
  <si>
    <t>Annual Return on Investment</t>
  </si>
  <si>
    <t>Annual Cap Rate</t>
  </si>
  <si>
    <t>Investment</t>
  </si>
  <si>
    <t>Down Payment %</t>
  </si>
  <si>
    <t>Down Payment</t>
  </si>
  <si>
    <t>Initial Upgrade Costs</t>
  </si>
  <si>
    <t>Debt Service</t>
  </si>
  <si>
    <t>Monthly</t>
  </si>
  <si>
    <t>Annual</t>
  </si>
  <si>
    <t>Loan Amount</t>
  </si>
  <si>
    <t>Amortization (years)</t>
  </si>
  <si>
    <t>Mortgage Payment (P&amp;I)</t>
  </si>
  <si>
    <t>Total Mortgage Payment (P&amp;I)</t>
  </si>
  <si>
    <t>Property Taxes</t>
  </si>
  <si>
    <t>Management Fees</t>
  </si>
  <si>
    <t>Home Insurance</t>
  </si>
  <si>
    <t>Estimated Vacancy Amount</t>
  </si>
  <si>
    <t>Estimated Maintenance</t>
  </si>
  <si>
    <t>Leasing Fee</t>
  </si>
  <si>
    <t>Cash Flow</t>
  </si>
  <si>
    <t>Rent per Side</t>
  </si>
  <si>
    <t>Return on Investment</t>
  </si>
  <si>
    <t>Annual Appreciation</t>
  </si>
  <si>
    <t>Years Held</t>
  </si>
  <si>
    <t>Accumulated Cash Flow</t>
  </si>
  <si>
    <t>Appreciation</t>
  </si>
  <si>
    <t>Principal Paydown</t>
  </si>
  <si>
    <t>Est. Selling Expenses %</t>
  </si>
  <si>
    <t>Selling Expenses</t>
  </si>
  <si>
    <t>Tax Benefits</t>
  </si>
  <si>
    <t>Cash Reserves</t>
  </si>
  <si>
    <t>Number of Months</t>
  </si>
  <si>
    <t>Estimated Closing Costs</t>
  </si>
  <si>
    <t>Admin Fee</t>
  </si>
  <si>
    <t>Processing Fee</t>
  </si>
  <si>
    <t>Tax Service Fee</t>
  </si>
  <si>
    <t>Total Lender Fees</t>
  </si>
  <si>
    <t>Attorney Doc Prep Fee</t>
  </si>
  <si>
    <t>Credit Report Fee</t>
  </si>
  <si>
    <t>Recording Fee</t>
  </si>
  <si>
    <t>Title Escrow and Misc Fees</t>
  </si>
  <si>
    <t>Owner's Title Policy (OTP)</t>
  </si>
  <si>
    <t>Survey Fee</t>
  </si>
  <si>
    <t>HOA Transfer Fees</t>
  </si>
  <si>
    <t>Total Lender/Title Closing Costs</t>
  </si>
  <si>
    <t>Annual Home Insurance Premium</t>
  </si>
  <si>
    <t>Buyer's contribution toward Escrow Setup</t>
  </si>
  <si>
    <t>Total Other Loan Costs</t>
  </si>
  <si>
    <t>Calculated Total Closing Costs</t>
  </si>
  <si>
    <t>Manually Enter Closing Costs?</t>
  </si>
  <si>
    <t>No</t>
  </si>
  <si>
    <t>Manual Closing Costs</t>
  </si>
  <si>
    <t>Total Closing Costs</t>
  </si>
  <si>
    <t>Vacancy Rate</t>
  </si>
  <si>
    <t xml:space="preserve">Estimated Maintenance </t>
  </si>
  <si>
    <t>Management Fee</t>
  </si>
  <si>
    <t>Yes</t>
  </si>
  <si>
    <t>Mortgage Amortization Schedule</t>
  </si>
  <si>
    <t>Month</t>
  </si>
  <si>
    <t>Principal Payment</t>
  </si>
  <si>
    <t>Interest Payment</t>
  </si>
  <si>
    <t>P&amp;I Payment</t>
  </si>
  <si>
    <t>Balance</t>
  </si>
  <si>
    <t>Years</t>
  </si>
  <si>
    <t>Est. Cash Flow (Total expenses)</t>
  </si>
  <si>
    <t>Disclaimer</t>
  </si>
  <si>
    <t xml:space="preserve">Proforma returns are based on assumptions. Actual returns will vary. Rosehaven Homes, LLC and Magnolia Village at Cinco Lakes, LLC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Rosehaven Homes, LLC hereby disclaims any liability for the accuracy, completeness, or correctness of any information or assumptions provided. </t>
  </si>
  <si>
    <t>Contact us for Details: 210-444-2040 or sales@rosehaven.us</t>
  </si>
  <si>
    <t>Premium Duplexes at Magnolia Village Proforma</t>
  </si>
  <si>
    <t>Closing Costs &amp; Prepaids</t>
  </si>
  <si>
    <t>(Does not account for rising rents)</t>
  </si>
  <si>
    <t>Per Diem Interest (15 Days)</t>
  </si>
  <si>
    <t>Total Appreciation</t>
  </si>
  <si>
    <t>Cash Required to Close</t>
  </si>
  <si>
    <t>Accumulated Expenses After Income</t>
  </si>
  <si>
    <t>Projected Annual Appreciation %</t>
  </si>
  <si>
    <t>Rental Contribution</t>
  </si>
  <si>
    <t>Accumulated Principle Paydown</t>
  </si>
  <si>
    <t>Interest Rate</t>
  </si>
  <si>
    <t>Estimated Maintenance Amount</t>
  </si>
  <si>
    <t>Purchase Price</t>
  </si>
  <si>
    <t>Closing Costs</t>
  </si>
  <si>
    <t>Insurance</t>
  </si>
  <si>
    <t>Annual Depreciation Benefit</t>
  </si>
  <si>
    <t>PMI</t>
  </si>
  <si>
    <t>Annual Gross Rents</t>
  </si>
  <si>
    <t>Rent Per Side</t>
  </si>
  <si>
    <t>Capital Needed for Purchase</t>
  </si>
  <si>
    <t>All Cash</t>
  </si>
  <si>
    <t>w/Loan</t>
  </si>
  <si>
    <t>Owner Occupier</t>
  </si>
  <si>
    <t>Key Assumptions</t>
  </si>
  <si>
    <t>Percent Down for Loan</t>
  </si>
  <si>
    <t>Item</t>
  </si>
  <si>
    <t>With Loan</t>
  </si>
  <si>
    <t>Interest Rate on Loan</t>
  </si>
  <si>
    <t>Cap Rate</t>
  </si>
  <si>
    <t>Cash on Cash Return</t>
  </si>
  <si>
    <t>Cash on Cash + Appreciation</t>
  </si>
  <si>
    <t>Investment Period (Years)</t>
  </si>
  <si>
    <t>Owner Occupier Monthly Cost</t>
  </si>
  <si>
    <t>Total Estimated Profit</t>
  </si>
  <si>
    <t>Magnolia</t>
  </si>
  <si>
    <t>Sample 1</t>
  </si>
  <si>
    <t>Sample 2</t>
  </si>
  <si>
    <t>Total Monthly Rent</t>
  </si>
  <si>
    <t>Monthly Rent</t>
  </si>
  <si>
    <t>Rent to Purchase Price Ratio</t>
  </si>
  <si>
    <t>Rent to Puchase Price Ratio Comparison</t>
  </si>
  <si>
    <t xml:space="preserve">Addditional assumptions and all forumulas can be found in the other tabs in this spreadsheet. </t>
  </si>
  <si>
    <t>Total Principal Paydown by Renter</t>
  </si>
  <si>
    <t>Operating Expenses</t>
  </si>
  <si>
    <t>Total Operating Expenses</t>
  </si>
  <si>
    <t>Est. Cash Flow (Less Vacancy &amp; Maint Exp)</t>
  </si>
  <si>
    <t>Est. Cash Flow</t>
  </si>
  <si>
    <t>Cash-on-Cash Return (Total Exp)</t>
  </si>
  <si>
    <t>Cash-on-Cash Return (Less Vacancy &amp; Maint Exp)</t>
  </si>
  <si>
    <t>Net Proceeds</t>
  </si>
  <si>
    <t>Adj IRR Cash Flows</t>
  </si>
  <si>
    <t>Internal Rate of Return (IRR)</t>
  </si>
  <si>
    <t>Monthly Cash-on-Cash Return</t>
  </si>
  <si>
    <t>Monthly Cash-on-Cash Return (Less Vacancy &amp; Maint Exp)</t>
  </si>
  <si>
    <t>HOA Fees</t>
  </si>
  <si>
    <t>PITI</t>
  </si>
  <si>
    <t>Leasing Fee (Amortized Over 18 Months)</t>
  </si>
  <si>
    <t>Monthly Cash Flow (Less Vacancy &amp; Maint. Exp)</t>
  </si>
  <si>
    <t>Leasing Fee (Amortized over 18 Months)</t>
  </si>
  <si>
    <t>Expenses After Rental Income</t>
  </si>
  <si>
    <t>Expenses After Rental Income (Less Vacancy &amp; Maint. Exp)</t>
  </si>
  <si>
    <t>Monthly Expenses After Rental Income (Less Vacancy &amp; Maint. Exp)</t>
  </si>
  <si>
    <t>Monthly Expenses After Rental Income</t>
  </si>
  <si>
    <t>Gross Rents</t>
  </si>
  <si>
    <t>Total Annual Return (ROI)</t>
  </si>
  <si>
    <t>Appreciation After X Years</t>
  </si>
  <si>
    <t>Principal Pay Down</t>
  </si>
  <si>
    <t>A simple way to compare properties is to look at how much rent you are "buying" for each dollar you are spending. The higher the ratio, the better.</t>
  </si>
  <si>
    <t>Premium Duplexes at Magnolia Village North Proforma</t>
  </si>
  <si>
    <t>Financial Estimate Summary - Magnolia Village North - **Lyon Floor Plan**</t>
  </si>
  <si>
    <t>(competitor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</si>
</sst>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quot;$&quot;#,##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0"/>
      <name val="Aptos Narrow"/>
      <family val="2"/>
      <scheme val="minor"/>
    </font>
    <font>
      <b/>
      <sz val="14"/>
      <color theme="0"/>
      <name val="Cambria"/>
      <family val="1"/>
    </font>
    <font>
      <sz val="11"/>
      <color theme="1"/>
      <name val="Cambria"/>
      <family val="1"/>
    </font>
    <font>
      <b/>
      <sz val="11"/>
      <color theme="1"/>
      <name val="Cambria"/>
      <family val="1"/>
    </font>
    <font>
      <b/>
      <sz val="11"/>
      <color theme="0"/>
      <name val="Cambria"/>
      <family val="1"/>
    </font>
    <font>
      <b/>
      <sz val="11"/>
      <name val="Cambria"/>
      <family val="1"/>
    </font>
    <font>
      <i/>
      <sz val="11"/>
      <color theme="1"/>
      <name val="Aptos Narrow"/>
      <family val="2"/>
      <scheme val="minor"/>
    </font>
    <font>
      <b/>
      <i/>
      <sz val="11"/>
      <color theme="1"/>
      <name val="Cambria"/>
      <family val="1"/>
    </font>
    <font>
      <i/>
      <sz val="11"/>
      <color theme="1"/>
      <name val="Cambria"/>
      <family val="1"/>
    </font>
    <font>
      <b/>
      <sz val="12"/>
      <name val="Arial Narrow"/>
      <family val="2"/>
    </font>
    <font>
      <sz val="12"/>
      <name val="Arial Narrow"/>
      <family val="2"/>
    </font>
    <font>
      <sz val="10"/>
      <name val="Helvetica"/>
    </font>
    <font>
      <b/>
      <sz val="12"/>
      <name val="Cambria"/>
      <family val="1"/>
    </font>
    <font>
      <u/>
      <sz val="11"/>
      <color theme="10"/>
      <name val="Aptos Narrow"/>
      <family val="2"/>
      <scheme val="minor"/>
    </font>
    <font>
      <b/>
      <sz val="11"/>
      <color theme="0"/>
      <name val="Aptos Narrow"/>
      <family val="2"/>
      <scheme val="minor"/>
    </font>
    <font>
      <sz val="11"/>
      <color theme="0"/>
      <name val="Cambria"/>
      <family val="1"/>
    </font>
    <font>
      <b/>
      <sz val="18"/>
      <color theme="4" tint="-0.499984740745262"/>
      <name val="Cambria"/>
      <family val="1"/>
    </font>
    <font>
      <b/>
      <sz val="10"/>
      <color theme="0"/>
      <name val="Cambria"/>
      <family val="1"/>
    </font>
    <font>
      <b/>
      <sz val="10"/>
      <color theme="1"/>
      <name val="Cambria"/>
      <family val="1"/>
    </font>
    <font>
      <sz val="10"/>
      <color theme="1"/>
      <name val="Cambria"/>
      <family val="1"/>
    </font>
    <font>
      <i/>
      <sz val="10"/>
      <color theme="1"/>
      <name val="Cambria"/>
      <family val="1"/>
    </font>
    <font>
      <sz val="10"/>
      <color theme="1"/>
      <name val="Aptos Narrow"/>
      <family val="2"/>
      <scheme val="minor"/>
    </font>
    <font>
      <i/>
      <sz val="9"/>
      <color theme="1"/>
      <name val="Cambria"/>
      <family val="1"/>
    </font>
    <font>
      <i/>
      <sz val="8"/>
      <color theme="1"/>
      <name val="Cambria"/>
      <family val="1"/>
    </font>
  </fonts>
  <fills count="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2" fillId="0" borderId="0" xfId="0" applyFont="1"/>
    <xf numFmtId="9" fontId="0" fillId="0" borderId="0" xfId="3" applyFont="1"/>
    <xf numFmtId="44" fontId="0" fillId="0" borderId="0" xfId="0" applyNumberFormat="1"/>
    <xf numFmtId="8" fontId="0" fillId="0" borderId="0" xfId="0" applyNumberFormat="1"/>
    <xf numFmtId="0" fontId="0" fillId="2" borderId="0" xfId="0" applyFill="1"/>
    <xf numFmtId="166" fontId="0" fillId="0" borderId="0" xfId="3" applyNumberFormat="1" applyFont="1"/>
    <xf numFmtId="0" fontId="4" fillId="2" borderId="0" xfId="0" applyFont="1" applyFill="1"/>
    <xf numFmtId="0" fontId="5" fillId="0" borderId="0" xfId="0" applyFont="1"/>
    <xf numFmtId="0" fontId="9" fillId="0" borderId="0" xfId="0" applyFont="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0" borderId="0" xfId="0" applyFont="1"/>
    <xf numFmtId="0" fontId="16" fillId="0" borderId="0" xfId="4"/>
    <xf numFmtId="0" fontId="9" fillId="4" borderId="0" xfId="0" applyFont="1" applyFill="1"/>
    <xf numFmtId="0" fontId="5" fillId="4" borderId="0" xfId="0" applyFont="1" applyFill="1"/>
    <xf numFmtId="0" fontId="6" fillId="4" borderId="0" xfId="0" applyFont="1" applyFill="1"/>
    <xf numFmtId="0" fontId="2" fillId="4" borderId="0" xfId="0" applyFont="1" applyFill="1"/>
    <xf numFmtId="164" fontId="6" fillId="4" borderId="0" xfId="0" applyNumberFormat="1" applyFont="1" applyFill="1"/>
    <xf numFmtId="164" fontId="5" fillId="4" borderId="0" xfId="0" applyNumberFormat="1" applyFont="1" applyFill="1"/>
    <xf numFmtId="164" fontId="5" fillId="3" borderId="1" xfId="0" applyNumberFormat="1" applyFont="1" applyFill="1" applyBorder="1" applyAlignment="1">
      <alignment horizontal="center"/>
    </xf>
    <xf numFmtId="164" fontId="6" fillId="5" borderId="1" xfId="2" applyNumberFormat="1" applyFont="1" applyFill="1" applyBorder="1"/>
    <xf numFmtId="0" fontId="15" fillId="4" borderId="0" xfId="0" applyFont="1" applyFill="1"/>
    <xf numFmtId="168" fontId="15" fillId="4" borderId="0" xfId="0" applyNumberFormat="1" applyFont="1" applyFill="1"/>
    <xf numFmtId="168" fontId="6" fillId="4" borderId="0" xfId="0" applyNumberFormat="1" applyFont="1" applyFill="1"/>
    <xf numFmtId="164" fontId="6" fillId="4" borderId="0" xfId="2" applyNumberFormat="1" applyFont="1" applyFill="1"/>
    <xf numFmtId="0" fontId="6" fillId="3" borderId="0" xfId="0" applyFont="1" applyFill="1"/>
    <xf numFmtId="0" fontId="4" fillId="4" borderId="0" xfId="0" applyFont="1" applyFill="1" applyAlignment="1">
      <alignment horizontal="center"/>
    </xf>
    <xf numFmtId="0" fontId="0" fillId="0" borderId="0" xfId="0" applyProtection="1">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44" fontId="17" fillId="2" borderId="0" xfId="0" applyNumberFormat="1" applyFont="1" applyFill="1" applyProtection="1">
      <protection hidden="1"/>
    </xf>
    <xf numFmtId="164" fontId="0" fillId="0" borderId="0" xfId="0" applyNumberFormat="1" applyProtection="1">
      <protection hidden="1"/>
    </xf>
    <xf numFmtId="10" fontId="0" fillId="0" borderId="0" xfId="3" applyNumberFormat="1" applyFont="1" applyProtection="1">
      <protection hidden="1"/>
    </xf>
    <xf numFmtId="44" fontId="0" fillId="0" borderId="0" xfId="0" applyNumberFormat="1" applyProtection="1">
      <protection hidden="1"/>
    </xf>
    <xf numFmtId="10" fontId="0" fillId="0" borderId="0" xfId="0" applyNumberFormat="1" applyProtection="1">
      <protection hidden="1"/>
    </xf>
    <xf numFmtId="165" fontId="0" fillId="0" borderId="0" xfId="1" applyNumberFormat="1" applyFont="1" applyProtection="1">
      <protection hidden="1"/>
    </xf>
    <xf numFmtId="43" fontId="0" fillId="0" borderId="0" xfId="0" applyNumberFormat="1" applyProtection="1">
      <protection hidden="1"/>
    </xf>
    <xf numFmtId="0" fontId="2" fillId="0" borderId="0" xfId="0" applyFont="1" applyProtection="1">
      <protection hidden="1"/>
    </xf>
    <xf numFmtId="43" fontId="2" fillId="0" borderId="0" xfId="0" applyNumberFormat="1" applyFont="1" applyProtection="1">
      <protection hidden="1"/>
    </xf>
    <xf numFmtId="0" fontId="0" fillId="4" borderId="0" xfId="0" applyFill="1" applyProtection="1">
      <protection hidden="1"/>
    </xf>
    <xf numFmtId="0" fontId="0" fillId="4" borderId="0" xfId="0" applyFill="1" applyProtection="1">
      <protection locked="0"/>
    </xf>
    <xf numFmtId="0" fontId="5" fillId="4" borderId="0" xfId="0" applyFont="1" applyFill="1" applyProtection="1">
      <protection locked="0"/>
    </xf>
    <xf numFmtId="0" fontId="9" fillId="4"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8" fillId="4" borderId="0" xfId="0" applyFont="1" applyFill="1" applyAlignment="1" applyProtection="1">
      <alignment horizontal="center"/>
      <protection locked="0"/>
    </xf>
    <xf numFmtId="164" fontId="5" fillId="4" borderId="0" xfId="2" applyNumberFormat="1" applyFont="1" applyFill="1" applyBorder="1" applyProtection="1">
      <protection locked="0"/>
    </xf>
    <xf numFmtId="9" fontId="5" fillId="4" borderId="0" xfId="3" applyFont="1" applyFill="1" applyBorder="1" applyProtection="1">
      <protection locked="0"/>
    </xf>
    <xf numFmtId="164" fontId="5" fillId="4" borderId="0" xfId="0" applyNumberFormat="1" applyFont="1" applyFill="1" applyProtection="1">
      <protection locked="0"/>
    </xf>
    <xf numFmtId="164" fontId="11" fillId="4" borderId="0" xfId="2" applyNumberFormat="1" applyFont="1" applyFill="1" applyBorder="1" applyProtection="1">
      <protection locked="0"/>
    </xf>
    <xf numFmtId="44" fontId="11" fillId="4" borderId="0" xfId="2" applyFont="1" applyFill="1" applyBorder="1" applyProtection="1">
      <protection locked="0"/>
    </xf>
    <xf numFmtId="165" fontId="5" fillId="4" borderId="0" xfId="1" applyNumberFormat="1" applyFont="1" applyFill="1" applyBorder="1" applyProtection="1">
      <protection locked="0"/>
    </xf>
    <xf numFmtId="0" fontId="6" fillId="4" borderId="0" xfId="0" applyFont="1" applyFill="1" applyProtection="1">
      <protection locked="0"/>
    </xf>
    <xf numFmtId="10" fontId="8" fillId="4" borderId="0" xfId="0" applyNumberFormat="1" applyFont="1" applyFill="1" applyAlignment="1" applyProtection="1">
      <alignment horizontal="right"/>
      <protection locked="0"/>
    </xf>
    <xf numFmtId="164" fontId="6" fillId="4" borderId="0" xfId="0" applyNumberFormat="1" applyFont="1" applyFill="1" applyProtection="1">
      <protection locked="0"/>
    </xf>
    <xf numFmtId="164" fontId="10" fillId="4" borderId="0" xfId="0" applyNumberFormat="1" applyFont="1" applyFill="1" applyProtection="1">
      <protection locked="0"/>
    </xf>
    <xf numFmtId="0" fontId="9" fillId="0" borderId="0" xfId="0" applyFont="1" applyProtection="1">
      <protection locked="0"/>
    </xf>
    <xf numFmtId="164" fontId="6" fillId="4" borderId="0" xfId="2" applyNumberFormat="1" applyFont="1" applyFill="1" applyBorder="1" applyProtection="1">
      <protection locked="0"/>
    </xf>
    <xf numFmtId="10" fontId="5" fillId="4" borderId="0" xfId="3" applyNumberFormat="1" applyFont="1" applyFill="1" applyBorder="1" applyProtection="1">
      <protection locked="0"/>
    </xf>
    <xf numFmtId="167" fontId="5" fillId="4" borderId="0" xfId="3" applyNumberFormat="1" applyFont="1" applyFill="1" applyBorder="1" applyProtection="1">
      <protection locked="0"/>
    </xf>
    <xf numFmtId="165" fontId="6" fillId="4" borderId="0" xfId="1" applyNumberFormat="1" applyFont="1" applyFill="1" applyAlignment="1" applyProtection="1">
      <alignment horizontal="right" indent="2"/>
      <protection locked="0"/>
    </xf>
    <xf numFmtId="10" fontId="6" fillId="4" borderId="0" xfId="3" applyNumberFormat="1" applyFont="1" applyFill="1" applyBorder="1" applyProtection="1">
      <protection locked="0"/>
    </xf>
    <xf numFmtId="44" fontId="6" fillId="4" borderId="0" xfId="0" applyNumberFormat="1" applyFont="1" applyFill="1" applyProtection="1">
      <protection locked="0"/>
    </xf>
    <xf numFmtId="1" fontId="5" fillId="4" borderId="0" xfId="1" applyNumberFormat="1" applyFont="1" applyFill="1" applyBorder="1" applyAlignment="1" applyProtection="1">
      <alignment horizontal="center" vertical="center"/>
      <protection locked="0"/>
    </xf>
    <xf numFmtId="8" fontId="6" fillId="4" borderId="0" xfId="0" applyNumberFormat="1" applyFont="1" applyFill="1" applyProtection="1">
      <protection locked="0"/>
    </xf>
    <xf numFmtId="0" fontId="4" fillId="4" borderId="0" xfId="0" applyFont="1" applyFill="1"/>
    <xf numFmtId="164" fontId="0" fillId="0" borderId="0" xfId="0" applyNumberFormat="1"/>
    <xf numFmtId="44" fontId="9" fillId="4" borderId="0" xfId="0" applyNumberFormat="1" applyFont="1" applyFill="1" applyProtection="1">
      <protection locked="0"/>
    </xf>
    <xf numFmtId="164" fontId="5" fillId="0" borderId="0" xfId="0" applyNumberFormat="1" applyFont="1"/>
    <xf numFmtId="164" fontId="8" fillId="4" borderId="0" xfId="0" applyNumberFormat="1" applyFont="1" applyFill="1" applyAlignment="1" applyProtection="1">
      <alignment horizontal="right"/>
      <protection locked="0"/>
    </xf>
    <xf numFmtId="164" fontId="9" fillId="0" borderId="0" xfId="0" applyNumberFormat="1" applyFont="1"/>
    <xf numFmtId="0" fontId="4" fillId="4" borderId="0" xfId="0" applyFont="1" applyFill="1" applyProtection="1">
      <protection locked="0"/>
    </xf>
    <xf numFmtId="0" fontId="7" fillId="4" borderId="0" xfId="0" applyFont="1" applyFill="1" applyAlignment="1" applyProtection="1">
      <alignment horizontal="center"/>
      <protection locked="0"/>
    </xf>
    <xf numFmtId="164" fontId="6" fillId="0" borderId="0" xfId="0" applyNumberFormat="1" applyFont="1"/>
    <xf numFmtId="0" fontId="20" fillId="2" borderId="0" xfId="0" applyFont="1" applyFill="1" applyProtection="1">
      <protection locked="0"/>
    </xf>
    <xf numFmtId="1" fontId="5" fillId="4" borderId="0" xfId="0" applyNumberFormat="1" applyFont="1" applyFill="1" applyProtection="1">
      <protection locked="0"/>
    </xf>
    <xf numFmtId="43" fontId="0" fillId="0" borderId="0" xfId="1" applyFont="1" applyProtection="1">
      <protection hidden="1"/>
    </xf>
    <xf numFmtId="9" fontId="5" fillId="6" borderId="0" xfId="3" applyFont="1" applyFill="1" applyBorder="1" applyProtection="1">
      <protection locked="0"/>
    </xf>
    <xf numFmtId="10" fontId="5" fillId="6" borderId="0" xfId="3" applyNumberFormat="1" applyFont="1" applyFill="1" applyBorder="1" applyProtection="1">
      <protection locked="0"/>
    </xf>
    <xf numFmtId="164" fontId="10" fillId="4" borderId="0" xfId="2" applyNumberFormat="1" applyFont="1" applyFill="1" applyBorder="1" applyProtection="1">
      <protection locked="0"/>
    </xf>
    <xf numFmtId="166" fontId="5" fillId="6" borderId="0" xfId="3" applyNumberFormat="1" applyFont="1" applyFill="1" applyBorder="1" applyProtection="1">
      <protection locked="0"/>
    </xf>
    <xf numFmtId="43" fontId="0" fillId="0" borderId="0" xfId="0" applyNumberFormat="1"/>
    <xf numFmtId="43" fontId="0" fillId="0" borderId="0" xfId="1" applyFont="1"/>
    <xf numFmtId="44" fontId="5" fillId="4" borderId="0" xfId="0" applyNumberFormat="1" applyFont="1" applyFill="1"/>
    <xf numFmtId="10" fontId="6" fillId="4" borderId="0" xfId="3" applyNumberFormat="1" applyFont="1" applyFill="1" applyProtection="1">
      <protection locked="0"/>
    </xf>
    <xf numFmtId="10" fontId="6" fillId="4" borderId="0" xfId="0" applyNumberFormat="1" applyFont="1" applyFill="1"/>
    <xf numFmtId="0" fontId="21" fillId="4" borderId="0" xfId="0" applyFont="1" applyFill="1"/>
    <xf numFmtId="0" fontId="22" fillId="4" borderId="0" xfId="0" applyFont="1" applyFill="1"/>
    <xf numFmtId="164" fontId="22" fillId="4" borderId="0" xfId="0" applyNumberFormat="1" applyFont="1" applyFill="1" applyProtection="1">
      <protection locked="0"/>
    </xf>
    <xf numFmtId="0" fontId="22" fillId="4" borderId="0" xfId="0" applyFont="1" applyFill="1" applyProtection="1">
      <protection locked="0"/>
    </xf>
    <xf numFmtId="10" fontId="22" fillId="4" borderId="0" xfId="3" applyNumberFormat="1" applyFont="1" applyFill="1" applyBorder="1" applyProtection="1">
      <protection locked="0"/>
    </xf>
    <xf numFmtId="10" fontId="22" fillId="4" borderId="0" xfId="0" applyNumberFormat="1" applyFont="1" applyFill="1"/>
    <xf numFmtId="0" fontId="22" fillId="4" borderId="2" xfId="0" applyFont="1" applyFill="1" applyBorder="1" applyProtection="1">
      <protection locked="0"/>
    </xf>
    <xf numFmtId="1" fontId="22" fillId="4" borderId="2" xfId="0" applyNumberFormat="1" applyFont="1" applyFill="1" applyBorder="1" applyProtection="1">
      <protection locked="0"/>
    </xf>
    <xf numFmtId="0" fontId="22" fillId="4" borderId="2" xfId="0" applyFont="1" applyFill="1" applyBorder="1"/>
    <xf numFmtId="164" fontId="22" fillId="4" borderId="2" xfId="0" applyNumberFormat="1" applyFont="1" applyFill="1" applyBorder="1" applyProtection="1">
      <protection locked="0"/>
    </xf>
    <xf numFmtId="0" fontId="21" fillId="4" borderId="2" xfId="0" applyFont="1" applyFill="1" applyBorder="1"/>
    <xf numFmtId="10" fontId="21" fillId="4" borderId="2" xfId="3" applyNumberFormat="1" applyFont="1" applyFill="1" applyBorder="1" applyProtection="1">
      <protection locked="0"/>
    </xf>
    <xf numFmtId="0" fontId="24" fillId="4" borderId="0" xfId="0" applyFont="1" applyFill="1"/>
    <xf numFmtId="0" fontId="24" fillId="4" borderId="0" xfId="0" applyFont="1" applyFill="1" applyAlignment="1">
      <alignment horizontal="right"/>
    </xf>
    <xf numFmtId="10" fontId="21" fillId="4" borderId="0" xfId="3" applyNumberFormat="1" applyFont="1" applyFill="1" applyBorder="1" applyProtection="1">
      <protection locked="0"/>
    </xf>
    <xf numFmtId="164" fontId="21" fillId="4" borderId="0" xfId="0" applyNumberFormat="1" applyFont="1" applyFill="1" applyProtection="1">
      <protection locked="0"/>
    </xf>
    <xf numFmtId="0" fontId="23" fillId="4" borderId="0" xfId="0" applyFont="1" applyFill="1" applyAlignment="1" applyProtection="1">
      <alignment horizontal="center"/>
      <protection locked="0"/>
    </xf>
    <xf numFmtId="0" fontId="25" fillId="4" borderId="3" xfId="0" applyFont="1" applyFill="1" applyBorder="1" applyAlignment="1">
      <alignment horizontal="center" vertical="top" wrapText="1"/>
    </xf>
    <xf numFmtId="0" fontId="25" fillId="4" borderId="0" xfId="0" applyFont="1" applyFill="1" applyAlignment="1">
      <alignment horizontal="center" vertical="top" wrapText="1"/>
    </xf>
    <xf numFmtId="0" fontId="20" fillId="2" borderId="0" xfId="0" applyFont="1" applyFill="1" applyAlignment="1" applyProtection="1">
      <alignment horizontal="center"/>
      <protection locked="0"/>
    </xf>
    <xf numFmtId="0" fontId="4" fillId="2" borderId="0" xfId="0" applyFont="1" applyFill="1" applyAlignment="1">
      <alignment horizontal="center"/>
    </xf>
    <xf numFmtId="0" fontId="11" fillId="4" borderId="0" xfId="0" applyFont="1" applyFill="1" applyAlignment="1">
      <alignment horizontal="left" vertical="top" wrapText="1"/>
    </xf>
    <xf numFmtId="0" fontId="0" fillId="4" borderId="0" xfId="0" applyFill="1" applyAlignment="1">
      <alignment horizontal="center"/>
    </xf>
    <xf numFmtId="0" fontId="19" fillId="4" borderId="0" xfId="0" applyFont="1" applyFill="1" applyAlignment="1">
      <alignment horizontal="center"/>
    </xf>
    <xf numFmtId="0" fontId="3" fillId="2" borderId="0" xfId="0" applyFont="1" applyFill="1" applyAlignment="1">
      <alignment horizontal="left"/>
    </xf>
    <xf numFmtId="0" fontId="26" fillId="4" borderId="0" xfId="0" applyFont="1" applyFill="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'All Cash'!$O$5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'All Cash'!$O$7:$O$36</c:f>
              <c:numCache>
                <c:formatCode>0.00%</c:formatCode>
                <c:ptCount val="30"/>
                <c:pt idx="0">
                  <c:v>1.347201467984236E-2</c:v>
                </c:pt>
                <c:pt idx="1">
                  <c:v>4.8573605981587172E-2</c:v>
                </c:pt>
                <c:pt idx="2">
                  <c:v>6.066200593400916E-2</c:v>
                </c:pt>
                <c:pt idx="3">
                  <c:v>6.7007289623961241E-2</c:v>
                </c:pt>
                <c:pt idx="4">
                  <c:v>7.1063757152910148E-2</c:v>
                </c:pt>
                <c:pt idx="5">
                  <c:v>7.3983087773044326E-2</c:v>
                </c:pt>
                <c:pt idx="6">
                  <c:v>7.6259076441880777E-2</c:v>
                </c:pt>
                <c:pt idx="7">
                  <c:v>7.8138818186823875E-2</c:v>
                </c:pt>
                <c:pt idx="8">
                  <c:v>7.9759769767852332E-2</c:v>
                </c:pt>
                <c:pt idx="9">
                  <c:v>8.120457453619187E-2</c:v>
                </c:pt>
                <c:pt idx="10">
                  <c:v>8.2525983006778603E-2</c:v>
                </c:pt>
                <c:pt idx="11">
                  <c:v>8.3759313317313122E-2</c:v>
                </c:pt>
                <c:pt idx="12">
                  <c:v>8.492916087132435E-2</c:v>
                </c:pt>
                <c:pt idx="13">
                  <c:v>8.6053232578604408E-2</c:v>
                </c:pt>
                <c:pt idx="14">
                  <c:v>8.7144647552758331E-2</c:v>
                </c:pt>
                <c:pt idx="15">
                  <c:v>8.8213375195910868E-2</c:v>
                </c:pt>
                <c:pt idx="16">
                  <c:v>8.9267165868993539E-2</c:v>
                </c:pt>
                <c:pt idx="17">
                  <c:v>9.0312171480230671E-2</c:v>
                </c:pt>
                <c:pt idx="18">
                  <c:v>9.1353370237184886E-2</c:v>
                </c:pt>
                <c:pt idx="19">
                  <c:v>9.2394864109733008E-2</c:v>
                </c:pt>
                <c:pt idx="20">
                  <c:v>9.344009143821419E-2</c:v>
                </c:pt>
                <c:pt idx="21">
                  <c:v>9.4491981690509735E-2</c:v>
                </c:pt>
                <c:pt idx="22">
                  <c:v>9.5553069979353908E-2</c:v>
                </c:pt>
                <c:pt idx="23">
                  <c:v>9.6625583080889921E-2</c:v>
                </c:pt>
                <c:pt idx="24">
                  <c:v>9.7711504938509927E-2</c:v>
                </c:pt>
                <c:pt idx="25">
                  <c:v>9.8812627179538134E-2</c:v>
                </c:pt>
                <c:pt idx="26">
                  <c:v>9.9930588534667533E-2</c:v>
                </c:pt>
                <c:pt idx="27">
                  <c:v>0.10106690593880505</c:v>
                </c:pt>
                <c:pt idx="28">
                  <c:v>0.10222299932560105</c:v>
                </c:pt>
                <c:pt idx="29">
                  <c:v>0.10340021159147937</c:v>
                </c:pt>
              </c:numCache>
            </c:numRef>
          </c:val>
          <c:smooth val="0"/>
          <c:extLst>
            <c:ext xmlns:c16="http://schemas.microsoft.com/office/drawing/2014/chart" uri="{C3380CC4-5D6E-409C-BE32-E72D297353CC}">
              <c16:uniqueId val="{00000000-0CF2-4C58-88F0-63307AC26BC6}"/>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'All Cash'!$M$5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'All Cash'!$M$7:$M$36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0CF2-4C58-88F0-63307AC26BC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'All Cash'!$N$5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'All Cash'!$N$7:$N$36</c15:sqref>
                        </c15:formulaRef>
                      </c:ext>
                    </c:extLst>
                    <c:numCache>
                      <c:formatCode>_("$"* #,##0_);_("$"* \(#,##0\);_("$"* "-"??_);_(@_)</c:formatCode>
                      <c:ptCount val="30"/>
                      <c:pt idx="0">
                        <c:v>5119.2308581932994</c:v>
                      </c:pt>
                      <c:pt idx="1">
                        <c:v>36914.969073886627</c:v>
                      </c:pt>
                      <c:pt idx="2">
                        <c:v>69152.866904592433</c:v>
                      </c:pt>
                      <c:pt idx="3">
                        <c:v>101848.39993683615</c:v>
                      </c:pt>
                      <c:pt idx="4">
                        <c:v>135017.58540267166</c:v>
                      </c:pt>
                      <c:pt idx="5">
                        <c:v>168677.0011372747</c:v>
                      </c:pt>
                      <c:pt idx="6">
                        <c:v>202843.80520005195</c:v>
                      </c:pt>
                      <c:pt idx="7">
                        <c:v>237535.75618248968</c:v>
                      </c:pt>
                      <c:pt idx="8">
                        <c:v>272771.23422677594</c:v>
                      </c:pt>
                      <c:pt idx="9">
                        <c:v>308569.26278007554</c:v>
                      </c:pt>
                      <c:pt idx="10">
                        <c:v>344949.53111020388</c:v>
                      </c:pt>
                      <c:pt idx="11">
                        <c:v>381932.41760934982</c:v>
                      </c:pt>
                      <c:pt idx="12">
                        <c:v>419539.01391342905</c:v>
                      </c:pt>
                      <c:pt idx="13">
                        <c:v>457791.14986561454</c:v>
                      </c:pt>
                      <c:pt idx="14">
                        <c:v>496711.41935358959</c:v>
                      </c:pt>
                      <c:pt idx="15">
                        <c:v>536323.20705110685</c:v>
                      </c:pt>
                      <c:pt idx="16">
                        <c:v>576650.71609550063</c:v>
                      </c:pt>
                      <c:pt idx="17">
                        <c:v>617718.99673391145</c:v>
                      </c:pt>
                      <c:pt idx="18">
                        <c:v>659553.97597212985</c:v>
                      </c:pt>
                      <c:pt idx="19">
                        <c:v>702182.48826114903</c:v>
                      </c:pt>
                      <c:pt idx="20">
                        <c:v>745632.30725774728</c:v>
                      </c:pt>
                      <c:pt idx="21">
                        <c:v>789932.17869668955</c:v>
                      </c:pt>
                      <c:pt idx="22">
                        <c:v>835111.85441345815</c:v>
                      </c:pt>
                      <c:pt idx="23">
                        <c:v>881202.12755777675</c:v>
                      </c:pt>
                      <c:pt idx="24">
                        <c:v>928234.8690396098</c:v>
                      </c:pt>
                      <c:pt idx="25">
                        <c:v>976243.06525077019</c:v>
                      </c:pt>
                      <c:pt idx="26">
                        <c:v>1025260.8571067846</c:v>
                      </c:pt>
                      <c:pt idx="27">
                        <c:v>1075323.5804552229</c:v>
                      </c:pt>
                      <c:pt idx="28">
                        <c:v>1126467.8078983193</c:v>
                      </c:pt>
                      <c:pt idx="29">
                        <c:v>1178731.3920793876</c:v>
                      </c:pt>
                    </c:numCache>
                  </c:numRef>
                </c:val>
                <c:smooth val="0"/>
                <c:extLst xmlns:c15="http://schemas.microsoft.com/office/drawing/2012/chart">
                  <c:ext xmlns:c16="http://schemas.microsoft.com/office/drawing/2014/chart" uri="{C3380CC4-5D6E-409C-BE32-E72D297353CC}">
                    <c16:uniqueId val="{00000002-0CF2-4C58-88F0-63307AC26BC6}"/>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'With Loan'!$O$5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'With Loan'!$O$7:$O$36</c:f>
              <c:numCache>
                <c:formatCode>0.00%</c:formatCode>
                <c:ptCount val="30"/>
                <c:pt idx="0">
                  <c:v>-3.7434952551304718E-2</c:v>
                </c:pt>
                <c:pt idx="1">
                  <c:v>7.0875871217421713E-2</c:v>
                </c:pt>
                <c:pt idx="2">
                  <c:v>0.10868200210338715</c:v>
                </c:pt>
                <c:pt idx="3">
                  <c:v>0.12890786558967157</c:v>
                </c:pt>
                <c:pt idx="4">
                  <c:v>0.14213966920652074</c:v>
                </c:pt>
                <c:pt idx="5">
                  <c:v>0.15190729057493299</c:v>
                </c:pt>
                <c:pt idx="6">
                  <c:v>0.15972454835819844</c:v>
                </c:pt>
                <c:pt idx="7">
                  <c:v>0.16634927111592132</c:v>
                </c:pt>
                <c:pt idx="8">
                  <c:v>0.17220332128339144</c:v>
                </c:pt>
                <c:pt idx="9">
                  <c:v>0.17754060572205521</c:v>
                </c:pt>
                <c:pt idx="10">
                  <c:v>0.18252344505466353</c:v>
                </c:pt>
                <c:pt idx="11">
                  <c:v>0.18726075919067506</c:v>
                </c:pt>
                <c:pt idx="12">
                  <c:v>0.1918286295835214</c:v>
                </c:pt>
                <c:pt idx="13">
                  <c:v>0.19628204988139189</c:v>
                </c:pt>
                <c:pt idx="14">
                  <c:v>0.20066197708124225</c:v>
                </c:pt>
                <c:pt idx="15">
                  <c:v>0.2049997392417903</c:v>
                </c:pt>
                <c:pt idx="16">
                  <c:v>0.2093198882564902</c:v>
                </c:pt>
                <c:pt idx="17">
                  <c:v>0.21364210241012604</c:v>
                </c:pt>
                <c:pt idx="18">
                  <c:v>0.21798248882303675</c:v>
                </c:pt>
                <c:pt idx="19">
                  <c:v>0.222354495846215</c:v>
                </c:pt>
                <c:pt idx="20">
                  <c:v>0.22676956544725757</c:v>
                </c:pt>
                <c:pt idx="21">
                  <c:v>0.23123760834069831</c:v>
                </c:pt>
                <c:pt idx="22">
                  <c:v>0.23576735583322742</c:v>
                </c:pt>
                <c:pt idx="23">
                  <c:v>0.24036662436493758</c:v>
                </c:pt>
                <c:pt idx="24">
                  <c:v>0.2450425172145754</c:v>
                </c:pt>
                <c:pt idx="25">
                  <c:v>0.24980158030896257</c:v>
                </c:pt>
                <c:pt idx="26">
                  <c:v>0.25464992405824277</c:v>
                </c:pt>
                <c:pt idx="27">
                  <c:v>0.25959331973321609</c:v>
                </c:pt>
                <c:pt idx="28">
                  <c:v>0.26463727655250868</c:v>
                </c:pt>
                <c:pt idx="29">
                  <c:v>0.26978710400338696</c:v>
                </c:pt>
              </c:numCache>
            </c:numRef>
          </c:val>
          <c:smooth val="0"/>
          <c:extLst>
            <c:ext xmlns:c16="http://schemas.microsoft.com/office/drawing/2014/chart" uri="{C3380CC4-5D6E-409C-BE32-E72D297353CC}">
              <c16:uniqueId val="{00000000-F50A-4A7D-BD8C-8909B2749CF2}"/>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'With Loan'!$M$5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'With Loan'!$M$7:$M$36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F50A-4A7D-BD8C-8909B2749CF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'With Loan'!$N$5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'With Loan'!$N$7:$N$36</c15:sqref>
                        </c15:formulaRef>
                      </c:ext>
                    </c:extLst>
                    <c:numCache>
                      <c:formatCode>_("$"* #,##0_);_("$"* \(#,##0\);_("$"* "-"??_);_(@_)</c:formatCode>
                      <c:ptCount val="30"/>
                      <c:pt idx="0">
                        <c:v>-4641.859195071469</c:v>
                      </c:pt>
                      <c:pt idx="1">
                        <c:v>17576.932363859712</c:v>
                      </c:pt>
                      <c:pt idx="2">
                        <c:v>40429.052242899255</c:v>
                      </c:pt>
                      <c:pt idx="3">
                        <c:v>63937.269361769126</c:v>
                      </c:pt>
                      <c:pt idx="4">
                        <c:v>88125.172535808335</c:v>
                      </c:pt>
                      <c:pt idx="5">
                        <c:v>113017.20004916693</c:v>
                      </c:pt>
                      <c:pt idx="6">
                        <c:v>138638.67029651417</c:v>
                      </c:pt>
                      <c:pt idx="7">
                        <c:v>165015.81353193702</c:v>
                      </c:pt>
                      <c:pt idx="8">
                        <c:v>192175.80476510257</c:v>
                      </c:pt>
                      <c:pt idx="9">
                        <c:v>220146.79784621694</c:v>
                      </c:pt>
                      <c:pt idx="10">
                        <c:v>248957.96078281425</c:v>
                      </c:pt>
                      <c:pt idx="11">
                        <c:v>278639.51233297458</c:v>
                      </c:pt>
                      <c:pt idx="12">
                        <c:v>309222.75992118259</c:v>
                      </c:pt>
                      <c:pt idx="13">
                        <c:v>340740.13892471866</c:v>
                      </c:pt>
                      <c:pt idx="14">
                        <c:v>373225.2533802081</c:v>
                      </c:pt>
                      <c:pt idx="15">
                        <c:v>406712.91816175892</c:v>
                      </c:pt>
                      <c:pt idx="16">
                        <c:v>441239.20268397866</c:v>
                      </c:pt>
                      <c:pt idx="17">
                        <c:v>476841.47618509672</c:v>
                      </c:pt>
                      <c:pt idx="18">
                        <c:v>513558.45464742591</c:v>
                      </c:pt>
                      <c:pt idx="19">
                        <c:v>551430.24941446644</c:v>
                      </c:pt>
                      <c:pt idx="20">
                        <c:v>590498.41756611387</c:v>
                      </c:pt>
                      <c:pt idx="21">
                        <c:v>630806.01411565836</c:v>
                      </c:pt>
                      <c:pt idx="22">
                        <c:v>672397.64609457867</c:v>
                      </c:pt>
                      <c:pt idx="23">
                        <c:v>715319.52859352343</c:v>
                      </c:pt>
                      <c:pt idx="24">
                        <c:v>759619.54283036222</c:v>
                      </c:pt>
                      <c:pt idx="25">
                        <c:v>805347.29631875397</c:v>
                      </c:pt>
                      <c:pt idx="26">
                        <c:v>852554.18521335372</c:v>
                      </c:pt>
                      <c:pt idx="27">
                        <c:v>901293.45891053532</c:v>
                      </c:pt>
                      <c:pt idx="28">
                        <c:v>951620.28698637907</c:v>
                      </c:pt>
                      <c:pt idx="29">
                        <c:v>1003591.8285566341</c:v>
                      </c:pt>
                    </c:numCache>
                  </c:numRef>
                </c:val>
                <c:smooth val="0"/>
                <c:extLst xmlns:c15="http://schemas.microsoft.com/office/drawing/2012/chart">
                  <c:ext xmlns:c16="http://schemas.microsoft.com/office/drawing/2014/chart" uri="{C3380CC4-5D6E-409C-BE32-E72D297353CC}">
                    <c16:uniqueId val="{00000002-F50A-4A7D-BD8C-8909B2749CF2}"/>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'Owner Occupier'!$O$5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'Owner Occupier'!$O$7:$O$36</c:f>
              <c:numCache>
                <c:formatCode>0.00%</c:formatCode>
                <c:ptCount val="30"/>
                <c:pt idx="0">
                  <c:v>-0.32254212622805795</c:v>
                </c:pt>
                <c:pt idx="1">
                  <c:v>0.22446665275979447</c:v>
                </c:pt>
                <c:pt idx="2">
                  <c:v>0.41652180441694903</c:v>
                </c:pt>
                <c:pt idx="3">
                  <c:v>0.52011701873960381</c:v>
                </c:pt>
                <c:pt idx="4">
                  <c:v>0.58855964037237318</c:v>
                </c:pt>
                <c:pt idx="5">
                  <c:v>0.63962623666330864</c:v>
                </c:pt>
                <c:pt idx="6">
                  <c:v>0.68094197402274315</c:v>
                </c:pt>
                <c:pt idx="7">
                  <c:v>0.71632547065203989</c:v>
                </c:pt>
                <c:pt idx="8">
                  <c:v>0.74790375543927801</c:v>
                </c:pt>
                <c:pt idx="9">
                  <c:v>0.77695825899245174</c:v>
                </c:pt>
                <c:pt idx="10">
                  <c:v>0.80430936208542869</c:v>
                </c:pt>
                <c:pt idx="11">
                  <c:v>0.83050867661850003</c:v>
                </c:pt>
                <c:pt idx="12">
                  <c:v>0.85594258798851897</c:v>
                </c:pt>
                <c:pt idx="13">
                  <c:v>0.88089142840440204</c:v>
                </c:pt>
                <c:pt idx="14">
                  <c:v>0.90556498694044685</c:v>
                </c:pt>
                <c:pt idx="15">
                  <c:v>0.9301247092325623</c:v>
                </c:pt>
                <c:pt idx="16">
                  <c:v>0.95469806777584476</c:v>
                </c:pt>
                <c:pt idx="17">
                  <c:v>0.97938814780895278</c:v>
                </c:pt>
                <c:pt idx="18">
                  <c:v>1.0042802116800171</c:v>
                </c:pt>
                <c:pt idx="19">
                  <c:v>1.0294462994392517</c:v>
                </c:pt>
                <c:pt idx="20">
                  <c:v>1.0549485204611426</c:v>
                </c:pt>
                <c:pt idx="21">
                  <c:v>1.0808414527971668</c:v>
                </c:pt>
                <c:pt idx="22">
                  <c:v>1.1071739220286876</c:v>
                </c:pt>
                <c:pt idx="23">
                  <c:v>1.1339903408079466</c:v>
                </c:pt>
                <c:pt idx="24">
                  <c:v>1.161331732303073</c:v>
                </c:pt>
                <c:pt idx="25">
                  <c:v>1.1892365228585928</c:v>
                </c:pt>
                <c:pt idx="26">
                  <c:v>1.217741163913612</c:v>
                </c:pt>
                <c:pt idx="27">
                  <c:v>1.2468806260731442</c:v>
                </c:pt>
                <c:pt idx="28">
                  <c:v>1.2766887964030589</c:v>
                </c:pt>
                <c:pt idx="29">
                  <c:v>1.3071988017419669</c:v>
                </c:pt>
              </c:numCache>
            </c:numRef>
          </c:val>
          <c:smooth val="0"/>
          <c:extLst>
            <c:ext xmlns:c16="http://schemas.microsoft.com/office/drawing/2014/chart" uri="{C3380CC4-5D6E-409C-BE32-E72D297353CC}">
              <c16:uniqueId val="{00000000-3472-40B5-AC9C-E6F06108AAA9}"/>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'Owner Occupier'!$M$5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'Owner Occupier'!$M$7:$M$36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3472-40B5-AC9C-E6F06108AAA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'Owner Occupier'!$N$5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'Owner Occupier'!$N$7:$N$36</c15:sqref>
                        </c15:formulaRef>
                      </c:ext>
                    </c:extLst>
                    <c:numCache>
                      <c:formatCode>_("$"* #,##0_);_("$"* \(#,##0\);_("$"* "-"??_);_(@_)</c:formatCode>
                      <c:ptCount val="30"/>
                      <c:pt idx="0">
                        <c:v>-7942.8090680094429</c:v>
                      </c:pt>
                      <c:pt idx="1">
                        <c:v>11055.273838838657</c:v>
                      </c:pt>
                      <c:pt idx="2">
                        <c:v>30771.358803600568</c:v>
                      </c:pt>
                      <c:pt idx="3">
                        <c:v>51232.875794338208</c:v>
                      </c:pt>
                      <c:pt idx="4">
                        <c:v>72468.31450023783</c:v>
                      </c:pt>
                      <c:pt idx="5">
                        <c:v>94507.265741416239</c:v>
                      </c:pt>
                      <c:pt idx="6">
                        <c:v>117380.46451527116</c:v>
                      </c:pt>
                      <c:pt idx="7">
                        <c:v>141119.83474476676</c:v>
                      </c:pt>
                      <c:pt idx="8">
                        <c:v>165758.5357966859</c:v>
                      </c:pt>
                      <c:pt idx="9">
                        <c:v>191331.01084063109</c:v>
                      </c:pt>
                      <c:pt idx="10">
                        <c:v>217873.037122412</c:v>
                      </c:pt>
                      <c:pt idx="11">
                        <c:v>245421.77822843811</c:v>
                      </c:pt>
                      <c:pt idx="12">
                        <c:v>274015.83842083107</c:v>
                      </c:pt>
                      <c:pt idx="13">
                        <c:v>303695.31912619603</c:v>
                      </c:pt>
                      <c:pt idx="14">
                        <c:v>334501.87766434794</c:v>
                      </c:pt>
                      <c:pt idx="15">
                        <c:v>366478.7883067847</c:v>
                      </c:pt>
                      <c:pt idx="16">
                        <c:v>399671.00575833028</c:v>
                      </c:pt>
                      <c:pt idx="17">
                        <c:v>434125.23115915997</c:v>
                      </c:pt>
                      <c:pt idx="18">
                        <c:v>469889.98070835881</c:v>
                      </c:pt>
                      <c:pt idx="19">
                        <c:v>507015.65701426577</c:v>
                      </c:pt>
                      <c:pt idx="20">
                        <c:v>545554.62328112149</c:v>
                      </c:pt>
                      <c:pt idx="21">
                        <c:v>585561.28044598585</c:v>
                      </c:pt>
                      <c:pt idx="22">
                        <c:v>627092.14738451433</c:v>
                      </c:pt>
                      <c:pt idx="23">
                        <c:v>670205.94430899748</c:v>
                      </c:pt>
                      <c:pt idx="24">
                        <c:v>714963.67948708171</c:v>
                      </c:pt>
                      <c:pt idx="25">
                        <c:v>761428.73941480322</c:v>
                      </c:pt>
                      <c:pt idx="26">
                        <c:v>809666.98258300405</c:v>
                      </c:pt>
                      <c:pt idx="27">
                        <c:v>859746.83698185091</c:v>
                      </c:pt>
                      <c:pt idx="28">
                        <c:v>911739.40149406285</c:v>
                      </c:pt>
                      <c:pt idx="29">
                        <c:v>965718.55133358727</c:v>
                      </c:pt>
                    </c:numCache>
                  </c:numRef>
                </c:val>
                <c:smooth val="0"/>
                <c:extLst xmlns:c15="http://schemas.microsoft.com/office/drawing/2012/chart">
                  <c:ext xmlns:c16="http://schemas.microsoft.com/office/drawing/2014/chart" uri="{C3380CC4-5D6E-409C-BE32-E72D297353CC}">
                    <c16:uniqueId val="{00000002-3472-40B5-AC9C-E6F06108AAA9}"/>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76759</xdr:colOff>
      <xdr:row>38</xdr:row>
      <xdr:rowOff>95250</xdr:rowOff>
    </xdr:from>
    <xdr:to>
      <xdr:col>4</xdr:col>
      <xdr:colOff>1229285</xdr:colOff>
      <xdr:row>42</xdr:row>
      <xdr:rowOff>133350</xdr:rowOff>
    </xdr:to>
    <xdr:sp macro="" textlink="">
      <xdr:nvSpPr>
        <xdr:cNvPr id="7" name="TextBox 3">
          <a:extLst>
            <a:ext uri="{FF2B5EF4-FFF2-40B4-BE49-F238E27FC236}">
              <a16:creationId xmlns:a16="http://schemas.microsoft.com/office/drawing/2014/main" id="{7039BF56-D730-64D7-B859-B0E1DD282887}"/>
            </a:ext>
          </a:extLst>
        </xdr:cNvPr>
        <xdr:cNvSpPr txBox="1"/>
      </xdr:nvSpPr>
      <xdr:spPr>
        <a:xfrm>
          <a:off x="76759" y="7324725"/>
          <a:ext cx="5734051"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strike="noStrike">
              <a:solidFill>
                <a:schemeClr val="dk1"/>
              </a:solidFill>
              <a:effectLst/>
              <a:latin typeface="+mn-lt"/>
              <a:ea typeface="+mn-ea"/>
              <a:cs typeface="+mn-cs"/>
            </a:rPr>
            <a:t>DISCLAIMER - </a:t>
          </a:r>
          <a:r>
            <a:rPr lang="en-US" sz="900" b="0" i="1" u="none" strike="noStrike">
              <a:solidFill>
                <a:schemeClr val="dk1"/>
              </a:solidFill>
              <a:effectLst/>
              <a:latin typeface="+mn-lt"/>
              <a:ea typeface="+mn-ea"/>
              <a:cs typeface="+mn-cs"/>
            </a:rPr>
            <a:t>Returns are based on assumptions. Actual returns will vary. Rosehaven Homes, LLC and Magnolia Village at Cinco Lakes, LLC  (the "Parties")</a:t>
          </a:r>
          <a:r>
            <a:rPr lang="en-US" sz="900" b="0" i="1" u="none" strike="noStrike" baseline="0">
              <a:solidFill>
                <a:schemeClr val="dk1"/>
              </a:solidFill>
              <a:effectLst/>
              <a:latin typeface="+mn-lt"/>
              <a:ea typeface="+mn-ea"/>
              <a:cs typeface="+mn-cs"/>
            </a:rPr>
            <a:t> </a:t>
          </a:r>
          <a:r>
            <a:rPr lang="en-US" sz="900" b="0" i="1" u="none" strike="noStrike">
              <a:solidFill>
                <a:schemeClr val="dk1"/>
              </a:solidFill>
              <a:effectLst/>
              <a:latin typeface="+mn-lt"/>
              <a:ea typeface="+mn-ea"/>
              <a:cs typeface="+mn-cs"/>
            </a:rPr>
            <a:t>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a:t>
          </a:r>
          <a:r>
            <a:rPr lang="en-US" sz="900"/>
            <a:t> </a:t>
          </a:r>
        </a:p>
      </xdr:txBody>
    </xdr:sp>
    <xdr:clientData/>
  </xdr:twoCellAnchor>
  <xdr:twoCellAnchor editAs="oneCell">
    <xdr:from>
      <xdr:col>1</xdr:col>
      <xdr:colOff>1800225</xdr:colOff>
      <xdr:row>0</xdr:row>
      <xdr:rowOff>76200</xdr:rowOff>
    </xdr:from>
    <xdr:to>
      <xdr:col>3</xdr:col>
      <xdr:colOff>571500</xdr:colOff>
      <xdr:row>3</xdr:row>
      <xdr:rowOff>142958</xdr:rowOff>
    </xdr:to>
    <xdr:pic>
      <xdr:nvPicPr>
        <xdr:cNvPr id="13" name="Picture 12">
          <a:extLst>
            <a:ext uri="{FF2B5EF4-FFF2-40B4-BE49-F238E27FC236}">
              <a16:creationId xmlns:a16="http://schemas.microsoft.com/office/drawing/2014/main" id="{E5F5B517-63C9-0186-EEBF-61F9B97EA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76200"/>
          <a:ext cx="2000250" cy="633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626722</xdr:colOff>
      <xdr:row>3</xdr:row>
      <xdr:rowOff>8062</xdr:rowOff>
    </xdr:to>
    <xdr:pic>
      <xdr:nvPicPr>
        <xdr:cNvPr id="2" name="Picture 1">
          <a:extLst>
            <a:ext uri="{FF2B5EF4-FFF2-40B4-BE49-F238E27FC236}">
              <a16:creationId xmlns:a16="http://schemas.microsoft.com/office/drawing/2014/main" id="{503E81F2-F9C4-4D05-AD71-84085203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BC16C3B8-6024-4C65-83F2-833C41994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645772</xdr:colOff>
      <xdr:row>3</xdr:row>
      <xdr:rowOff>8062</xdr:rowOff>
    </xdr:to>
    <xdr:pic>
      <xdr:nvPicPr>
        <xdr:cNvPr id="4" name="Picture 3">
          <a:extLst>
            <a:ext uri="{FF2B5EF4-FFF2-40B4-BE49-F238E27FC236}">
              <a16:creationId xmlns:a16="http://schemas.microsoft.com/office/drawing/2014/main" id="{6245581B-09C2-7A28-736B-AE93518CA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6468" y="36741"/>
          <a:ext cx="1868907" cy="617585"/>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2" name="Chart 1">
          <a:extLst>
            <a:ext uri="{FF2B5EF4-FFF2-40B4-BE49-F238E27FC236}">
              <a16:creationId xmlns:a16="http://schemas.microsoft.com/office/drawing/2014/main" id="{E27D4E81-4D61-4243-A311-D0EB4E10A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626723</xdr:colOff>
      <xdr:row>3</xdr:row>
      <xdr:rowOff>8062</xdr:rowOff>
    </xdr:to>
    <xdr:pic>
      <xdr:nvPicPr>
        <xdr:cNvPr id="2" name="Picture 1">
          <a:extLst>
            <a:ext uri="{FF2B5EF4-FFF2-40B4-BE49-F238E27FC236}">
              <a16:creationId xmlns:a16="http://schemas.microsoft.com/office/drawing/2014/main" id="{FCECE085-9FF9-4953-9F59-1A10FFCFE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23D44A74-3BA2-49A3-95D5-EC29C7042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16C9-0766-4342-B34D-6EAF51367B17}">
  <dimension ref="A5:G44"/>
  <sheetViews>
    <sheetView tabSelected="1" topLeftCell="B1" zoomScale="120" zoomScaleNormal="120" workbookViewId="0">
      <selection activeCell="F1" sqref="F1"/>
    </sheetView>
  </sheetViews>
  <sheetFormatPr defaultRowHeight="15" x14ac:dyDescent="0.25"/>
  <cols>
    <col min="1" max="1" width="1.28515625" style="10" customWidth="1"/>
    <col min="2" max="2" width="29.42578125" style="102" customWidth="1"/>
    <col min="3" max="5" width="19" style="102" customWidth="1"/>
    <col min="7" max="7" width="10.7109375" bestFit="1" customWidth="1"/>
    <col min="9" max="9" width="10.28515625" customWidth="1"/>
  </cols>
  <sheetData>
    <row r="5" spans="2:7" x14ac:dyDescent="0.25">
      <c r="B5" s="18" t="s">
        <v>141</v>
      </c>
      <c r="C5" s="91"/>
      <c r="D5" s="91"/>
      <c r="E5" s="91"/>
    </row>
    <row r="6" spans="2:7" x14ac:dyDescent="0.25">
      <c r="B6" s="90" t="s">
        <v>95</v>
      </c>
      <c r="C6" s="91"/>
      <c r="D6" s="91"/>
      <c r="E6" s="91"/>
    </row>
    <row r="7" spans="2:7" x14ac:dyDescent="0.25">
      <c r="B7" s="78" t="s">
        <v>97</v>
      </c>
      <c r="C7" s="78" t="s">
        <v>92</v>
      </c>
      <c r="D7" s="78" t="s">
        <v>98</v>
      </c>
      <c r="E7" s="78" t="s">
        <v>94</v>
      </c>
    </row>
    <row r="8" spans="2:7" x14ac:dyDescent="0.25">
      <c r="B8" s="91" t="s">
        <v>1</v>
      </c>
      <c r="C8" s="92">
        <v>374990</v>
      </c>
      <c r="D8" s="92">
        <v>374990</v>
      </c>
      <c r="E8" s="92">
        <v>374990</v>
      </c>
    </row>
    <row r="9" spans="2:7" x14ac:dyDescent="0.25">
      <c r="B9" s="93" t="s">
        <v>96</v>
      </c>
      <c r="C9" s="94">
        <v>0</v>
      </c>
      <c r="D9" s="94">
        <v>0.3</v>
      </c>
      <c r="E9" s="94">
        <v>3.5000000000000003E-2</v>
      </c>
    </row>
    <row r="10" spans="2:7" x14ac:dyDescent="0.25">
      <c r="B10" s="93" t="s">
        <v>99</v>
      </c>
      <c r="C10" s="94"/>
      <c r="D10" s="94">
        <v>3.7499999999999999E-2</v>
      </c>
      <c r="E10" s="94">
        <v>4.2500000000000003E-2</v>
      </c>
      <c r="G10" s="3"/>
    </row>
    <row r="11" spans="2:7" x14ac:dyDescent="0.25">
      <c r="B11" s="93" t="s">
        <v>90</v>
      </c>
      <c r="C11" s="92">
        <v>1375</v>
      </c>
      <c r="D11" s="92">
        <v>1375</v>
      </c>
      <c r="E11" s="92">
        <v>1375</v>
      </c>
      <c r="G11" s="3"/>
    </row>
    <row r="12" spans="2:7" x14ac:dyDescent="0.25">
      <c r="B12" s="93" t="s">
        <v>26</v>
      </c>
      <c r="C12" s="95">
        <v>3.5000000000000003E-2</v>
      </c>
      <c r="D12" s="95">
        <v>3.5000000000000003E-2</v>
      </c>
      <c r="E12" s="95">
        <v>3.5000000000000003E-2</v>
      </c>
    </row>
    <row r="13" spans="2:7" x14ac:dyDescent="0.25">
      <c r="B13" s="96" t="s">
        <v>103</v>
      </c>
      <c r="C13" s="97">
        <v>15</v>
      </c>
      <c r="D13" s="97">
        <v>15</v>
      </c>
      <c r="E13" s="97">
        <v>15</v>
      </c>
    </row>
    <row r="14" spans="2:7" ht="14.25" customHeight="1" x14ac:dyDescent="0.25">
      <c r="B14" s="106" t="s">
        <v>113</v>
      </c>
      <c r="C14" s="106"/>
      <c r="D14" s="106"/>
      <c r="E14" s="106"/>
    </row>
    <row r="15" spans="2:7" x14ac:dyDescent="0.25">
      <c r="B15" s="91"/>
      <c r="C15" s="91"/>
      <c r="D15" s="91"/>
      <c r="E15" s="91"/>
    </row>
    <row r="16" spans="2:7" x14ac:dyDescent="0.25">
      <c r="B16" s="90" t="s">
        <v>0</v>
      </c>
      <c r="C16" s="91"/>
      <c r="D16" s="91"/>
      <c r="E16" s="91"/>
    </row>
    <row r="17" spans="2:5" x14ac:dyDescent="0.25">
      <c r="B17" s="78" t="s">
        <v>97</v>
      </c>
      <c r="C17" s="78" t="s">
        <v>92</v>
      </c>
      <c r="D17" s="78" t="s">
        <v>93</v>
      </c>
      <c r="E17" s="78" t="s">
        <v>94</v>
      </c>
    </row>
    <row r="18" spans="2:5" x14ac:dyDescent="0.25">
      <c r="B18" s="91" t="s">
        <v>89</v>
      </c>
      <c r="C18" s="92">
        <f>'All Cash'!$D$25</f>
        <v>33000</v>
      </c>
      <c r="D18" s="92">
        <f>'With Loan'!I25</f>
        <v>33000</v>
      </c>
      <c r="E18" s="92">
        <f>'Owner Occupier'!D25</f>
        <v>16500</v>
      </c>
    </row>
    <row r="19" spans="2:5" x14ac:dyDescent="0.25">
      <c r="B19" s="98" t="s">
        <v>91</v>
      </c>
      <c r="C19" s="99">
        <f>'All Cash'!$D$26</f>
        <v>379990.00000000006</v>
      </c>
      <c r="D19" s="99">
        <f>'With Loan'!D38</f>
        <v>123997.99862734665</v>
      </c>
      <c r="E19" s="99">
        <f>'Owner Occupier'!D38</f>
        <v>24625.648627346643</v>
      </c>
    </row>
    <row r="20" spans="2:5" x14ac:dyDescent="0.25">
      <c r="B20" s="91" t="s">
        <v>28</v>
      </c>
      <c r="C20" s="92">
        <f>'All Cash'!$H$37</f>
        <v>287439.09537290002</v>
      </c>
      <c r="D20" s="92">
        <f>'With Loan'!$H$38</f>
        <v>68622.813611523437</v>
      </c>
      <c r="E20" s="92"/>
    </row>
    <row r="21" spans="2:5" x14ac:dyDescent="0.25">
      <c r="B21" s="91" t="s">
        <v>138</v>
      </c>
      <c r="C21" s="92"/>
      <c r="D21" s="92">
        <f>'With Loan'!$H$35</f>
        <v>95330.115787995077</v>
      </c>
      <c r="E21" s="92">
        <f>'Owner Occupier'!$H$34</f>
        <v>59447.90262167059</v>
      </c>
    </row>
    <row r="22" spans="2:5" x14ac:dyDescent="0.25">
      <c r="B22" s="91" t="s">
        <v>137</v>
      </c>
      <c r="C22" s="92">
        <f>'All Cash'!$H$33</f>
        <v>253249.05804375221</v>
      </c>
      <c r="D22" s="92">
        <f>'With Loan'!$H$33</f>
        <v>253249.05804375221</v>
      </c>
      <c r="E22" s="92">
        <f>'Owner Occupier'!$H$32</f>
        <v>253249.05804375221</v>
      </c>
    </row>
    <row r="23" spans="2:5" x14ac:dyDescent="0.25">
      <c r="B23" s="98" t="s">
        <v>105</v>
      </c>
      <c r="C23" s="99">
        <f>'All Cash'!$D$29</f>
        <v>496711.41935358959</v>
      </c>
      <c r="D23" s="99">
        <f>'With Loan'!H39</f>
        <v>373225.2533802081</v>
      </c>
      <c r="E23" s="99">
        <f>'Owner Occupier'!D31</f>
        <v>268720.22660236014</v>
      </c>
    </row>
    <row r="24" spans="2:5" x14ac:dyDescent="0.25">
      <c r="B24" s="90" t="s">
        <v>136</v>
      </c>
      <c r="C24" s="104">
        <f>'All Cash'!$D$30</f>
        <v>8.7144647552758331E-2</v>
      </c>
      <c r="D24" s="104">
        <f>'With Loan'!H43</f>
        <v>0.20066197708124225</v>
      </c>
      <c r="E24" s="104">
        <f>'Owner Occupier'!H38</f>
        <v>0.72748060546906868</v>
      </c>
    </row>
    <row r="25" spans="2:5" x14ac:dyDescent="0.25">
      <c r="B25" s="91" t="s">
        <v>100</v>
      </c>
      <c r="C25" s="104">
        <f>'All Cash'!$D$32</f>
        <v>5.1101646332417754E-2</v>
      </c>
      <c r="D25" s="104"/>
      <c r="E25" s="104"/>
    </row>
    <row r="26" spans="2:5" x14ac:dyDescent="0.25">
      <c r="B26" s="91" t="s">
        <v>101</v>
      </c>
      <c r="C26" s="94"/>
      <c r="D26" s="104">
        <f>'With Loan'!H41</f>
        <v>3.6894581294953946E-2</v>
      </c>
      <c r="E26" s="94"/>
    </row>
    <row r="27" spans="2:5" x14ac:dyDescent="0.25">
      <c r="B27" s="91" t="s">
        <v>102</v>
      </c>
      <c r="C27" s="94"/>
      <c r="D27" s="104">
        <f>D26+D12</f>
        <v>7.1894581294953949E-2</v>
      </c>
      <c r="E27" s="94"/>
    </row>
    <row r="28" spans="2:5" x14ac:dyDescent="0.25">
      <c r="B28" s="91" t="s">
        <v>104</v>
      </c>
      <c r="C28" s="92"/>
      <c r="D28" s="92"/>
      <c r="E28" s="105">
        <f>-1*'Owner Occupier'!H26</f>
        <v>1432.9453156005038</v>
      </c>
    </row>
    <row r="29" spans="2:5" x14ac:dyDescent="0.25">
      <c r="B29" s="98" t="s">
        <v>123</v>
      </c>
      <c r="C29" s="101">
        <f>'All Cash'!H43</f>
        <v>7.605459878480425E-2</v>
      </c>
      <c r="D29" s="101">
        <f>'With Loan'!H44</f>
        <v>0.10716864649593005</v>
      </c>
      <c r="E29" s="101"/>
    </row>
    <row r="30" spans="2:5" x14ac:dyDescent="0.25">
      <c r="B30" s="91"/>
      <c r="C30" s="92"/>
      <c r="D30" s="92"/>
      <c r="E30" s="92"/>
    </row>
    <row r="31" spans="2:5" x14ac:dyDescent="0.25">
      <c r="B31" s="90" t="s">
        <v>112</v>
      </c>
      <c r="C31" s="91"/>
      <c r="D31" s="115" t="s">
        <v>142</v>
      </c>
      <c r="E31" s="115" t="s">
        <v>142</v>
      </c>
    </row>
    <row r="32" spans="2:5" x14ac:dyDescent="0.25">
      <c r="B32" s="78" t="s">
        <v>97</v>
      </c>
      <c r="C32" s="78" t="s">
        <v>106</v>
      </c>
      <c r="D32" s="78" t="s">
        <v>107</v>
      </c>
      <c r="E32" s="78" t="s">
        <v>108</v>
      </c>
    </row>
    <row r="33" spans="2:5" x14ac:dyDescent="0.25">
      <c r="B33" s="91" t="s">
        <v>84</v>
      </c>
      <c r="C33" s="92">
        <f>C8</f>
        <v>374990</v>
      </c>
      <c r="D33" s="92">
        <v>475000</v>
      </c>
      <c r="E33" s="92">
        <v>565000</v>
      </c>
    </row>
    <row r="34" spans="2:5" x14ac:dyDescent="0.25">
      <c r="B34" s="91" t="s">
        <v>110</v>
      </c>
      <c r="C34" s="92">
        <f>C11</f>
        <v>1375</v>
      </c>
      <c r="D34" s="92">
        <v>1450</v>
      </c>
      <c r="E34" s="92">
        <v>1725</v>
      </c>
    </row>
    <row r="35" spans="2:5" x14ac:dyDescent="0.25">
      <c r="B35" s="91" t="s">
        <v>109</v>
      </c>
      <c r="C35" s="92">
        <f>C34*2</f>
        <v>2750</v>
      </c>
      <c r="D35" s="92">
        <f>D34*2</f>
        <v>2900</v>
      </c>
      <c r="E35" s="92">
        <f>E34*2</f>
        <v>3450</v>
      </c>
    </row>
    <row r="36" spans="2:5" x14ac:dyDescent="0.25">
      <c r="B36" s="100" t="s">
        <v>111</v>
      </c>
      <c r="C36" s="101">
        <f>C35/C33</f>
        <v>7.3335288941038428E-3</v>
      </c>
      <c r="D36" s="101">
        <f>D35/D33</f>
        <v>6.1052631578947369E-3</v>
      </c>
      <c r="E36" s="101">
        <f>E35/E33</f>
        <v>6.1061946902654868E-3</v>
      </c>
    </row>
    <row r="37" spans="2:5" ht="15" customHeight="1" x14ac:dyDescent="0.25">
      <c r="B37" s="107" t="s">
        <v>139</v>
      </c>
      <c r="C37" s="107"/>
      <c r="D37" s="107"/>
      <c r="E37" s="107"/>
    </row>
    <row r="38" spans="2:5" x14ac:dyDescent="0.25">
      <c r="B38" s="108"/>
      <c r="C38" s="108"/>
      <c r="D38" s="108"/>
      <c r="E38" s="108"/>
    </row>
    <row r="43" spans="2:5" x14ac:dyDescent="0.25">
      <c r="E43" s="103"/>
    </row>
    <row r="44" spans="2:5" x14ac:dyDescent="0.25">
      <c r="B44" s="109" t="s">
        <v>71</v>
      </c>
      <c r="C44" s="109"/>
      <c r="D44" s="109"/>
      <c r="E44" s="109"/>
    </row>
  </sheetData>
  <mergeCells count="3">
    <mergeCell ref="B14:E14"/>
    <mergeCell ref="B37:E38"/>
    <mergeCell ref="B44:E4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BC52-B97A-49E2-8435-53CAD6E7E736}">
  <sheetPr>
    <pageSetUpPr fitToPage="1"/>
  </sheetPr>
  <dimension ref="A1:AA70"/>
  <sheetViews>
    <sheetView zoomScale="85" zoomScaleNormal="85" workbookViewId="0">
      <selection activeCell="H27" sqref="H27"/>
    </sheetView>
  </sheetViews>
  <sheetFormatPr defaultRowHeight="15" outlineLevelCol="1" x14ac:dyDescent="0.25"/>
  <cols>
    <col min="1" max="1" width="2.85546875" customWidth="1"/>
    <col min="2" max="2" width="43.85546875" customWidth="1"/>
    <col min="3" max="3" width="9" customWidth="1"/>
    <col min="4" max="4" width="12.7109375" style="8" customWidth="1"/>
    <col min="5" max="5" width="13.140625" style="9" customWidth="1"/>
    <col min="6" max="6" width="5.28515625" customWidth="1"/>
    <col min="7" max="7" width="47.5703125" bestFit="1" customWidth="1"/>
    <col min="8" max="8" width="14.140625" bestFit="1" customWidth="1"/>
    <col min="9" max="9" width="13.140625" customWidth="1"/>
    <col min="10" max="10" width="13.42578125" bestFit="1" customWidth="1"/>
    <col min="12" max="12" width="9" style="30" customWidth="1"/>
    <col min="13" max="13" width="9.28515625" style="30" hidden="1" customWidth="1" outlineLevel="1"/>
    <col min="14" max="14" width="20.28515625" style="30" hidden="1" customWidth="1" outlineLevel="1"/>
    <col min="15" max="15" width="20.85546875" style="30" hidden="1" customWidth="1" outlineLevel="1"/>
    <col min="16" max="16" width="26.28515625" style="30" hidden="1" customWidth="1" outlineLevel="1"/>
    <col min="17" max="17" width="19.28515625" style="30" hidden="1" customWidth="1" outlineLevel="1"/>
    <col min="18" max="18" width="9.5703125" style="30" hidden="1" customWidth="1" outlineLevel="1"/>
    <col min="19" max="19" width="12.7109375" style="30" hidden="1" customWidth="1" outlineLevel="1"/>
    <col min="20" max="20" width="12.5703125" style="30" hidden="1" customWidth="1" outlineLevel="1"/>
    <col min="21" max="21" width="17.5703125" style="30" hidden="1" customWidth="1" outlineLevel="1"/>
    <col min="22" max="22" width="16.42578125" style="30" hidden="1" customWidth="1" outlineLevel="1"/>
    <col min="23" max="23" width="24.140625" style="30" hidden="1" customWidth="1" outlineLevel="1"/>
    <col min="24" max="24" width="13.5703125" style="30" hidden="1" customWidth="1" outlineLevel="1"/>
    <col min="25" max="25" width="12.42578125" style="30" hidden="1" customWidth="1" outlineLevel="1"/>
    <col min="26" max="26" width="20.5703125" hidden="1" customWidth="1" outlineLevel="1"/>
    <col min="27" max="27" width="9.140625" collapsed="1"/>
  </cols>
  <sheetData>
    <row r="1" spans="1:26" x14ac:dyDescent="0.25">
      <c r="A1" s="10"/>
      <c r="B1" s="112"/>
      <c r="C1" s="112"/>
      <c r="D1" s="112"/>
      <c r="E1" s="112"/>
      <c r="F1" s="112"/>
      <c r="G1" s="112"/>
      <c r="H1" s="112"/>
      <c r="I1" s="112"/>
    </row>
    <row r="2" spans="1:26" x14ac:dyDescent="0.25">
      <c r="A2" s="10"/>
      <c r="B2" s="112"/>
      <c r="C2" s="112"/>
      <c r="D2" s="112"/>
      <c r="E2" s="112"/>
      <c r="F2" s="112"/>
      <c r="G2" s="112"/>
      <c r="H2" s="112"/>
      <c r="I2" s="112"/>
    </row>
    <row r="3" spans="1:26" ht="23.25" customHeight="1" x14ac:dyDescent="0.25">
      <c r="A3" s="10"/>
      <c r="B3" s="112"/>
      <c r="C3" s="112"/>
      <c r="D3" s="112"/>
      <c r="E3" s="112"/>
      <c r="F3" s="112"/>
      <c r="G3" s="112"/>
      <c r="H3" s="112"/>
      <c r="I3" s="112"/>
    </row>
    <row r="4" spans="1:26" ht="22.5" x14ac:dyDescent="0.3">
      <c r="A4" s="10"/>
      <c r="B4" s="113" t="s">
        <v>72</v>
      </c>
      <c r="C4" s="113"/>
      <c r="D4" s="113"/>
      <c r="E4" s="113"/>
      <c r="F4" s="113"/>
      <c r="G4" s="113"/>
      <c r="H4" s="113"/>
      <c r="I4" s="113"/>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121</v>
      </c>
      <c r="Z5" s="33" t="s">
        <v>122</v>
      </c>
    </row>
    <row r="6" spans="1:26" ht="14.25" customHeight="1" x14ac:dyDescent="0.25">
      <c r="A6" s="10"/>
      <c r="B6" s="43"/>
      <c r="C6" s="43"/>
      <c r="D6" s="44"/>
      <c r="E6" s="45"/>
      <c r="F6" s="43"/>
      <c r="G6" s="43"/>
      <c r="H6" s="43"/>
      <c r="I6" s="43"/>
      <c r="M6" s="30">
        <v>0</v>
      </c>
      <c r="X6" s="34">
        <f>-$D$38</f>
        <v>-379990.00000000006</v>
      </c>
      <c r="Z6" s="70">
        <f t="shared" ref="Z6:Z36" si="0">IF($H$32&gt;=M6,SUM(X6:Y6),0)</f>
        <v>-379990.00000000006</v>
      </c>
    </row>
    <row r="7" spans="1:26" ht="14.25" customHeight="1" x14ac:dyDescent="0.25">
      <c r="A7" s="10"/>
      <c r="B7" s="43"/>
      <c r="C7" s="43"/>
      <c r="D7" s="44"/>
      <c r="E7" s="45"/>
      <c r="F7" s="43"/>
      <c r="G7" s="43"/>
      <c r="H7" s="43"/>
      <c r="I7" s="43"/>
      <c r="M7" s="30">
        <v>1</v>
      </c>
      <c r="N7" s="34">
        <f t="shared" ref="N7:N36" si="1">W7+T7+U7-V7</f>
        <v>5119.2308581932994</v>
      </c>
      <c r="O7" s="35">
        <f t="shared" ref="O7:O36" si="2">N7/P7/M7</f>
        <v>1.347201467984236E-2</v>
      </c>
      <c r="P7" s="36">
        <f>'All Cash'!$D$38</f>
        <v>379990.00000000006</v>
      </c>
      <c r="Q7" s="37">
        <f>'All Cash'!$H$31</f>
        <v>3.5000000000000003E-2</v>
      </c>
      <c r="R7" s="38">
        <f>'All Cash'!$D$24</f>
        <v>374990</v>
      </c>
      <c r="S7" s="38">
        <v>0</v>
      </c>
      <c r="T7" s="39">
        <f t="shared" ref="T7:T36" si="3">$R$7*(1+Q7)^M7-$R$7</f>
        <v>13124.649999999965</v>
      </c>
      <c r="U7" s="39">
        <v>0</v>
      </c>
      <c r="V7" s="39">
        <f>(R7+T7)*'All Cash'!$H$35</f>
        <v>27168.0255</v>
      </c>
      <c r="W7" s="36">
        <f>'All Cash'!$I$27*'All Cash'!$M7</f>
        <v>19162.606358193334</v>
      </c>
      <c r="X7" s="34">
        <f t="shared" ref="X7:X36" si="4">$I$28</f>
        <v>21142.606358193334</v>
      </c>
      <c r="Y7" s="80">
        <f t="shared" ref="Y7:Y36" si="5">IF($H$32=$M7,R7+T7-V7,0)</f>
        <v>0</v>
      </c>
      <c r="Z7" s="70">
        <f t="shared" si="0"/>
        <v>21142.606358193334</v>
      </c>
    </row>
    <row r="8" spans="1:26" ht="14.25" customHeight="1" x14ac:dyDescent="0.25">
      <c r="A8" s="10"/>
      <c r="B8" s="43"/>
      <c r="C8" s="43"/>
      <c r="D8" s="44"/>
      <c r="E8" s="45"/>
      <c r="F8" s="43"/>
      <c r="G8" s="43"/>
      <c r="H8" s="43"/>
      <c r="I8" s="43"/>
      <c r="M8" s="30">
        <v>2</v>
      </c>
      <c r="N8" s="34">
        <f t="shared" si="1"/>
        <v>36914.969073886627</v>
      </c>
      <c r="O8" s="35">
        <f t="shared" si="2"/>
        <v>4.8573605981587172E-2</v>
      </c>
      <c r="P8" s="36">
        <f>'All Cash'!$D$38</f>
        <v>379990.00000000006</v>
      </c>
      <c r="Q8" s="37">
        <f>'All Cash'!$H$31</f>
        <v>3.5000000000000003E-2</v>
      </c>
      <c r="R8" s="38">
        <f>'All Cash'!$D$24</f>
        <v>374990</v>
      </c>
      <c r="S8" s="38">
        <v>0</v>
      </c>
      <c r="T8" s="39">
        <f t="shared" si="3"/>
        <v>26708.662749999959</v>
      </c>
      <c r="U8" s="39">
        <v>0</v>
      </c>
      <c r="V8" s="39">
        <f>(R8+T8)*'All Cash'!$H$35</f>
        <v>28118.906392500001</v>
      </c>
      <c r="W8" s="36">
        <f>'All Cash'!$I$27*'All Cash'!$M8</f>
        <v>38325.212716386668</v>
      </c>
      <c r="X8" s="34">
        <f t="shared" si="4"/>
        <v>21142.606358193334</v>
      </c>
      <c r="Y8" s="80">
        <f t="shared" si="5"/>
        <v>0</v>
      </c>
      <c r="Z8" s="70">
        <f t="shared" si="0"/>
        <v>21142.606358193334</v>
      </c>
    </row>
    <row r="9" spans="1:26" ht="14.25" customHeight="1" x14ac:dyDescent="0.25">
      <c r="A9" s="10"/>
      <c r="B9" s="43"/>
      <c r="C9" s="43"/>
      <c r="D9" s="44"/>
      <c r="E9" s="45"/>
      <c r="F9" s="43"/>
      <c r="G9" s="43"/>
      <c r="H9" s="43"/>
      <c r="I9" s="43"/>
      <c r="M9" s="30">
        <v>3</v>
      </c>
      <c r="N9" s="34">
        <f t="shared" si="1"/>
        <v>69152.866904592433</v>
      </c>
      <c r="O9" s="35">
        <f t="shared" si="2"/>
        <v>6.066200593400916E-2</v>
      </c>
      <c r="P9" s="36">
        <f>'All Cash'!$D$38</f>
        <v>379990.00000000006</v>
      </c>
      <c r="Q9" s="37">
        <f>'All Cash'!$H$31</f>
        <v>3.5000000000000003E-2</v>
      </c>
      <c r="R9" s="38">
        <f>'All Cash'!$D$24</f>
        <v>374990</v>
      </c>
      <c r="S9" s="38">
        <v>0</v>
      </c>
      <c r="T9" s="39">
        <f t="shared" si="3"/>
        <v>40768.11594624992</v>
      </c>
      <c r="U9" s="39">
        <v>0</v>
      </c>
      <c r="V9" s="39">
        <f>(R9+T9)*'All Cash'!$H$35</f>
        <v>29103.068116237497</v>
      </c>
      <c r="W9" s="36">
        <f>'All Cash'!$I$27*'All Cash'!$M9</f>
        <v>57487.819074580002</v>
      </c>
      <c r="X9" s="34">
        <f t="shared" si="4"/>
        <v>21142.606358193334</v>
      </c>
      <c r="Y9" s="80">
        <f t="shared" si="5"/>
        <v>0</v>
      </c>
      <c r="Z9" s="70">
        <f t="shared" si="0"/>
        <v>21142.606358193334</v>
      </c>
    </row>
    <row r="10" spans="1:26" ht="14.25" customHeight="1" x14ac:dyDescent="0.25">
      <c r="A10" s="10"/>
      <c r="B10" s="43"/>
      <c r="C10" s="43"/>
      <c r="D10" s="44"/>
      <c r="E10" s="45"/>
      <c r="F10" s="43"/>
      <c r="G10" s="43"/>
      <c r="H10" s="43"/>
      <c r="I10" s="43"/>
      <c r="M10" s="30">
        <v>4</v>
      </c>
      <c r="N10" s="34">
        <f t="shared" si="1"/>
        <v>101848.39993683615</v>
      </c>
      <c r="O10" s="35">
        <f t="shared" si="2"/>
        <v>6.7007289623961241E-2</v>
      </c>
      <c r="P10" s="36">
        <f>'All Cash'!$D$38</f>
        <v>379990.00000000006</v>
      </c>
      <c r="Q10" s="37">
        <f>'All Cash'!$H$31</f>
        <v>3.5000000000000003E-2</v>
      </c>
      <c r="R10" s="38">
        <f>'All Cash'!$D$24</f>
        <v>374990</v>
      </c>
      <c r="S10" s="38">
        <v>0</v>
      </c>
      <c r="T10" s="39">
        <f t="shared" si="3"/>
        <v>55319.650004368625</v>
      </c>
      <c r="U10" s="39">
        <v>0</v>
      </c>
      <c r="V10" s="39">
        <f>(R10+T10)*'All Cash'!$H$35</f>
        <v>30121.675500305806</v>
      </c>
      <c r="W10" s="36">
        <f>'All Cash'!$I$27*'All Cash'!$M10</f>
        <v>76650.425432773336</v>
      </c>
      <c r="X10" s="34">
        <f t="shared" si="4"/>
        <v>21142.606358193334</v>
      </c>
      <c r="Y10" s="80">
        <f t="shared" si="5"/>
        <v>0</v>
      </c>
      <c r="Z10" s="70">
        <f t="shared" si="0"/>
        <v>21142.606358193334</v>
      </c>
    </row>
    <row r="11" spans="1:26" ht="14.25" customHeight="1" x14ac:dyDescent="0.25">
      <c r="A11" s="10"/>
      <c r="B11" s="43"/>
      <c r="C11" s="43"/>
      <c r="D11" s="44"/>
      <c r="E11" s="45"/>
      <c r="F11" s="43"/>
      <c r="G11" s="43"/>
      <c r="H11" s="43"/>
      <c r="I11" s="43"/>
      <c r="M11" s="30">
        <v>5</v>
      </c>
      <c r="N11" s="34">
        <f t="shared" si="1"/>
        <v>135017.58540267166</v>
      </c>
      <c r="O11" s="35">
        <f t="shared" si="2"/>
        <v>7.1063757152910148E-2</v>
      </c>
      <c r="P11" s="36">
        <f>'All Cash'!$D$38</f>
        <v>379990.00000000006</v>
      </c>
      <c r="Q11" s="37">
        <f>'All Cash'!$H$31</f>
        <v>3.5000000000000003E-2</v>
      </c>
      <c r="R11" s="38">
        <f>'All Cash'!$D$24</f>
        <v>374990</v>
      </c>
      <c r="S11" s="38">
        <v>0</v>
      </c>
      <c r="T11" s="39">
        <f t="shared" si="3"/>
        <v>70380.487754521484</v>
      </c>
      <c r="U11" s="39">
        <v>0</v>
      </c>
      <c r="V11" s="39">
        <f>(R11+T11)*'All Cash'!$H$35</f>
        <v>31175.934142816506</v>
      </c>
      <c r="W11" s="36">
        <f>'All Cash'!$I$27*'All Cash'!$M11</f>
        <v>95813.031790966663</v>
      </c>
      <c r="X11" s="34">
        <f t="shared" si="4"/>
        <v>21142.606358193334</v>
      </c>
      <c r="Y11" s="80">
        <f t="shared" si="5"/>
        <v>0</v>
      </c>
      <c r="Z11" s="70">
        <f t="shared" si="0"/>
        <v>21142.606358193334</v>
      </c>
    </row>
    <row r="12" spans="1:26" ht="14.25" customHeight="1" x14ac:dyDescent="0.25">
      <c r="A12" s="10"/>
      <c r="B12" s="43"/>
      <c r="C12" s="43"/>
      <c r="D12" s="44"/>
      <c r="E12" s="45"/>
      <c r="F12" s="43"/>
      <c r="G12" s="43"/>
      <c r="H12" s="43"/>
      <c r="I12" s="43"/>
      <c r="M12" s="30">
        <v>6</v>
      </c>
      <c r="N12" s="34">
        <f t="shared" si="1"/>
        <v>168677.0011372747</v>
      </c>
      <c r="O12" s="35">
        <f t="shared" si="2"/>
        <v>7.3983087773044326E-2</v>
      </c>
      <c r="P12" s="36">
        <f>'All Cash'!$D$38</f>
        <v>379990.00000000006</v>
      </c>
      <c r="Q12" s="37">
        <f>'All Cash'!$H$31</f>
        <v>3.5000000000000003E-2</v>
      </c>
      <c r="R12" s="38">
        <f>'All Cash'!$D$24</f>
        <v>374990</v>
      </c>
      <c r="S12" s="38">
        <v>0</v>
      </c>
      <c r="T12" s="39">
        <f t="shared" si="3"/>
        <v>85968.454825929774</v>
      </c>
      <c r="U12" s="39">
        <v>0</v>
      </c>
      <c r="V12" s="39">
        <f>(R12+T12)*'All Cash'!$H$35</f>
        <v>32267.091837815085</v>
      </c>
      <c r="W12" s="36">
        <f>'All Cash'!$I$27*'All Cash'!$M12</f>
        <v>114975.63814916</v>
      </c>
      <c r="X12" s="34">
        <f t="shared" si="4"/>
        <v>21142.606358193334</v>
      </c>
      <c r="Y12" s="80">
        <f t="shared" si="5"/>
        <v>0</v>
      </c>
      <c r="Z12" s="70">
        <f t="shared" si="0"/>
        <v>21142.606358193334</v>
      </c>
    </row>
    <row r="13" spans="1:26" ht="14.25" customHeight="1" x14ac:dyDescent="0.25">
      <c r="A13" s="10"/>
      <c r="B13" s="43"/>
      <c r="C13" s="43"/>
      <c r="D13" s="44"/>
      <c r="E13" s="45"/>
      <c r="F13" s="43"/>
      <c r="G13" s="43"/>
      <c r="H13" s="43"/>
      <c r="I13" s="43"/>
      <c r="M13" s="30">
        <v>7</v>
      </c>
      <c r="N13" s="34">
        <f t="shared" si="1"/>
        <v>202843.80520005195</v>
      </c>
      <c r="O13" s="35">
        <f t="shared" si="2"/>
        <v>7.6259076441880777E-2</v>
      </c>
      <c r="P13" s="36">
        <f>'All Cash'!$D$38</f>
        <v>379990.00000000006</v>
      </c>
      <c r="Q13" s="37">
        <f>'All Cash'!$H$31</f>
        <v>3.5000000000000003E-2</v>
      </c>
      <c r="R13" s="38">
        <f>'All Cash'!$D$24</f>
        <v>374990</v>
      </c>
      <c r="S13" s="38">
        <v>0</v>
      </c>
      <c r="T13" s="39">
        <f t="shared" si="3"/>
        <v>102102.00074483722</v>
      </c>
      <c r="U13" s="39">
        <v>0</v>
      </c>
      <c r="V13" s="39">
        <f>(R13+T13)*'All Cash'!$H$35</f>
        <v>33396.440052138605</v>
      </c>
      <c r="W13" s="36">
        <f>'All Cash'!$I$27*'All Cash'!$M13</f>
        <v>134138.24450735335</v>
      </c>
      <c r="X13" s="34">
        <f t="shared" si="4"/>
        <v>21142.606358193334</v>
      </c>
      <c r="Y13" s="80">
        <f t="shared" si="5"/>
        <v>0</v>
      </c>
      <c r="Z13" s="70">
        <f t="shared" si="0"/>
        <v>21142.606358193334</v>
      </c>
    </row>
    <row r="14" spans="1:26" ht="14.25" customHeight="1" x14ac:dyDescent="0.25">
      <c r="A14" s="10"/>
      <c r="B14" s="43"/>
      <c r="C14" s="43"/>
      <c r="D14" s="44"/>
      <c r="E14" s="45"/>
      <c r="F14" s="43"/>
      <c r="G14" s="43"/>
      <c r="H14" s="43"/>
      <c r="I14" s="43"/>
      <c r="M14" s="30">
        <v>8</v>
      </c>
      <c r="N14" s="34">
        <f t="shared" si="1"/>
        <v>237535.75618248968</v>
      </c>
      <c r="O14" s="35">
        <f t="shared" si="2"/>
        <v>7.8138818186823875E-2</v>
      </c>
      <c r="P14" s="36">
        <f>'All Cash'!$D$38</f>
        <v>379990.00000000006</v>
      </c>
      <c r="Q14" s="37">
        <f>'All Cash'!$H$31</f>
        <v>3.5000000000000003E-2</v>
      </c>
      <c r="R14" s="38">
        <f>'All Cash'!$D$24</f>
        <v>374990</v>
      </c>
      <c r="S14" s="38">
        <v>0</v>
      </c>
      <c r="T14" s="39">
        <f t="shared" si="3"/>
        <v>118800.22077090648</v>
      </c>
      <c r="U14" s="39">
        <v>0</v>
      </c>
      <c r="V14" s="39">
        <f>(R14+T14)*'All Cash'!$H$35</f>
        <v>34565.315453963456</v>
      </c>
      <c r="W14" s="36">
        <f>'All Cash'!$I$27*'All Cash'!$M14</f>
        <v>153300.85086554667</v>
      </c>
      <c r="X14" s="34">
        <f t="shared" si="4"/>
        <v>21142.606358193334</v>
      </c>
      <c r="Y14" s="80">
        <f t="shared" si="5"/>
        <v>0</v>
      </c>
      <c r="Z14" s="70">
        <f t="shared" si="0"/>
        <v>21142.606358193334</v>
      </c>
    </row>
    <row r="15" spans="1:26" ht="14.25" customHeight="1" x14ac:dyDescent="0.25">
      <c r="A15" s="10"/>
      <c r="B15" s="43"/>
      <c r="C15" s="43"/>
      <c r="D15" s="44"/>
      <c r="E15" s="45"/>
      <c r="F15" s="43"/>
      <c r="G15" s="43"/>
      <c r="H15" s="43"/>
      <c r="I15" s="43"/>
      <c r="M15" s="30">
        <v>9</v>
      </c>
      <c r="N15" s="34">
        <f t="shared" si="1"/>
        <v>272771.23422677594</v>
      </c>
      <c r="O15" s="35">
        <f t="shared" si="2"/>
        <v>7.9759769767852332E-2</v>
      </c>
      <c r="P15" s="36">
        <f>'All Cash'!$D$38</f>
        <v>379990.00000000006</v>
      </c>
      <c r="Q15" s="37">
        <f>'All Cash'!$H$31</f>
        <v>3.5000000000000003E-2</v>
      </c>
      <c r="R15" s="38">
        <f>'All Cash'!$D$24</f>
        <v>374990</v>
      </c>
      <c r="S15" s="38">
        <v>0</v>
      </c>
      <c r="T15" s="39">
        <f t="shared" si="3"/>
        <v>136082.8784978881</v>
      </c>
      <c r="U15" s="39">
        <v>0</v>
      </c>
      <c r="V15" s="39">
        <f>(R15+T15)*'All Cash'!$H$35</f>
        <v>35775.10149485217</v>
      </c>
      <c r="W15" s="36">
        <f>'All Cash'!$I$27*'All Cash'!$M15</f>
        <v>172463.45722374</v>
      </c>
      <c r="X15" s="34">
        <f t="shared" si="4"/>
        <v>21142.606358193334</v>
      </c>
      <c r="Y15" s="80">
        <f t="shared" si="5"/>
        <v>0</v>
      </c>
      <c r="Z15" s="70">
        <f t="shared" si="0"/>
        <v>21142.606358193334</v>
      </c>
    </row>
    <row r="16" spans="1:26" ht="14.25" customHeight="1" x14ac:dyDescent="0.25">
      <c r="A16" s="10"/>
      <c r="B16" s="43"/>
      <c r="C16" s="43"/>
      <c r="D16" s="44"/>
      <c r="E16" s="45"/>
      <c r="F16" s="43"/>
      <c r="G16" s="43"/>
      <c r="H16" s="43"/>
      <c r="I16" s="43"/>
      <c r="M16" s="30">
        <v>10</v>
      </c>
      <c r="N16" s="34">
        <f t="shared" si="1"/>
        <v>308569.26278007554</v>
      </c>
      <c r="O16" s="35">
        <f t="shared" si="2"/>
        <v>8.120457453619187E-2</v>
      </c>
      <c r="P16" s="36">
        <f>'All Cash'!$D$38</f>
        <v>379990.00000000006</v>
      </c>
      <c r="Q16" s="37">
        <f>'All Cash'!$H$31</f>
        <v>3.5000000000000003E-2</v>
      </c>
      <c r="R16" s="38">
        <f>'All Cash'!$D$24</f>
        <v>374990</v>
      </c>
      <c r="S16" s="38">
        <v>0</v>
      </c>
      <c r="T16" s="39">
        <f t="shared" si="3"/>
        <v>153970.42924531421</v>
      </c>
      <c r="U16" s="39">
        <v>0</v>
      </c>
      <c r="V16" s="39">
        <f>(R16+T16)*'All Cash'!$H$35</f>
        <v>37027.230047172001</v>
      </c>
      <c r="W16" s="36">
        <f>'All Cash'!$I$27*'All Cash'!$M16</f>
        <v>191626.06358193333</v>
      </c>
      <c r="X16" s="34">
        <f t="shared" si="4"/>
        <v>21142.606358193334</v>
      </c>
      <c r="Y16" s="80">
        <f t="shared" si="5"/>
        <v>0</v>
      </c>
      <c r="Z16" s="70">
        <f t="shared" si="0"/>
        <v>21142.606358193334</v>
      </c>
    </row>
    <row r="17" spans="1:26" ht="14.25" customHeight="1" x14ac:dyDescent="0.25">
      <c r="A17" s="10"/>
      <c r="B17" s="43"/>
      <c r="C17" s="43"/>
      <c r="D17" s="44"/>
      <c r="E17" s="45"/>
      <c r="F17" s="43"/>
      <c r="G17" s="43"/>
      <c r="H17" s="43"/>
      <c r="I17" s="43"/>
      <c r="M17" s="30">
        <v>11</v>
      </c>
      <c r="N17" s="34">
        <f t="shared" si="1"/>
        <v>344949.53111020388</v>
      </c>
      <c r="O17" s="35">
        <f t="shared" si="2"/>
        <v>8.2525983006778603E-2</v>
      </c>
      <c r="P17" s="36">
        <f>'All Cash'!$D$38</f>
        <v>379990.00000000006</v>
      </c>
      <c r="Q17" s="37">
        <f>'All Cash'!$H$31</f>
        <v>3.5000000000000003E-2</v>
      </c>
      <c r="R17" s="38">
        <f>'All Cash'!$D$24</f>
        <v>374990</v>
      </c>
      <c r="S17" s="38">
        <v>0</v>
      </c>
      <c r="T17" s="39">
        <f t="shared" si="3"/>
        <v>172484.04426890018</v>
      </c>
      <c r="U17" s="39">
        <v>0</v>
      </c>
      <c r="V17" s="39">
        <f>(R17+T17)*'All Cash'!$H$35</f>
        <v>38323.183098823014</v>
      </c>
      <c r="W17" s="36">
        <f>'All Cash'!$I$27*'All Cash'!$M17</f>
        <v>210788.66994012668</v>
      </c>
      <c r="X17" s="34">
        <f t="shared" si="4"/>
        <v>21142.606358193334</v>
      </c>
      <c r="Y17" s="80">
        <f t="shared" si="5"/>
        <v>0</v>
      </c>
      <c r="Z17" s="70">
        <f t="shared" si="0"/>
        <v>21142.606358193334</v>
      </c>
    </row>
    <row r="18" spans="1:26" ht="14.25" customHeight="1" x14ac:dyDescent="0.25">
      <c r="A18" s="10"/>
      <c r="B18" s="43"/>
      <c r="C18" s="43"/>
      <c r="D18" s="44"/>
      <c r="E18" s="45"/>
      <c r="F18" s="43"/>
      <c r="G18" s="43"/>
      <c r="H18" s="43"/>
      <c r="I18" s="43"/>
      <c r="M18" s="30">
        <v>12</v>
      </c>
      <c r="N18" s="34">
        <f t="shared" si="1"/>
        <v>381932.41760934982</v>
      </c>
      <c r="O18" s="35">
        <f t="shared" si="2"/>
        <v>8.3759313317313122E-2</v>
      </c>
      <c r="P18" s="36">
        <f>'All Cash'!$D$38</f>
        <v>379990.00000000006</v>
      </c>
      <c r="Q18" s="37">
        <f>'All Cash'!$H$31</f>
        <v>3.5000000000000003E-2</v>
      </c>
      <c r="R18" s="38">
        <f>'All Cash'!$D$24</f>
        <v>374990</v>
      </c>
      <c r="S18" s="38">
        <v>0</v>
      </c>
      <c r="T18" s="39">
        <f t="shared" si="3"/>
        <v>191645.6358183116</v>
      </c>
      <c r="U18" s="39">
        <v>0</v>
      </c>
      <c r="V18" s="39">
        <f>(R18+T18)*'All Cash'!$H$35</f>
        <v>39664.494507281815</v>
      </c>
      <c r="W18" s="36">
        <f>'All Cash'!$I$27*'All Cash'!$M18</f>
        <v>229951.27629832001</v>
      </c>
      <c r="X18" s="34">
        <f t="shared" si="4"/>
        <v>21142.606358193334</v>
      </c>
      <c r="Y18" s="80">
        <f t="shared" si="5"/>
        <v>0</v>
      </c>
      <c r="Z18" s="70">
        <f t="shared" si="0"/>
        <v>21142.606358193334</v>
      </c>
    </row>
    <row r="19" spans="1:26" ht="14.25" customHeight="1" x14ac:dyDescent="0.25">
      <c r="A19" s="10"/>
      <c r="B19" s="43"/>
      <c r="C19" s="43"/>
      <c r="D19" s="44"/>
      <c r="E19" s="45"/>
      <c r="F19" s="43"/>
      <c r="G19" s="43"/>
      <c r="H19" s="43"/>
      <c r="I19" s="43"/>
      <c r="M19" s="30">
        <v>13</v>
      </c>
      <c r="N19" s="34">
        <f t="shared" si="1"/>
        <v>419539.01391342905</v>
      </c>
      <c r="O19" s="35">
        <f t="shared" si="2"/>
        <v>8.492916087132435E-2</v>
      </c>
      <c r="P19" s="36">
        <f>'All Cash'!$D$38</f>
        <v>379990.00000000006</v>
      </c>
      <c r="Q19" s="37">
        <f>'All Cash'!$H$31</f>
        <v>3.5000000000000003E-2</v>
      </c>
      <c r="R19" s="38">
        <f>'All Cash'!$D$24</f>
        <v>374990</v>
      </c>
      <c r="S19" s="38">
        <v>0</v>
      </c>
      <c r="T19" s="39">
        <f t="shared" si="3"/>
        <v>211477.88307195238</v>
      </c>
      <c r="U19" s="39">
        <v>0</v>
      </c>
      <c r="V19" s="39">
        <f>(R19+T19)*'All Cash'!$H$35</f>
        <v>41052.751815036674</v>
      </c>
      <c r="W19" s="36">
        <f>'All Cash'!$I$27*'All Cash'!$M19</f>
        <v>249113.88265651333</v>
      </c>
      <c r="X19" s="34">
        <f t="shared" si="4"/>
        <v>21142.606358193334</v>
      </c>
      <c r="Y19" s="80">
        <f t="shared" si="5"/>
        <v>0</v>
      </c>
      <c r="Z19" s="70">
        <f t="shared" si="0"/>
        <v>21142.606358193334</v>
      </c>
    </row>
    <row r="20" spans="1:26" ht="14.25" customHeight="1" x14ac:dyDescent="0.25">
      <c r="A20" s="10"/>
      <c r="B20" s="43"/>
      <c r="C20" s="43"/>
      <c r="D20" s="44"/>
      <c r="E20" s="45"/>
      <c r="F20" s="43"/>
      <c r="G20" s="43"/>
      <c r="H20" s="43"/>
      <c r="I20" s="43"/>
      <c r="M20" s="30">
        <v>14</v>
      </c>
      <c r="N20" s="34">
        <f t="shared" si="1"/>
        <v>457791.14986561454</v>
      </c>
      <c r="O20" s="35">
        <f t="shared" si="2"/>
        <v>8.6053232578604408E-2</v>
      </c>
      <c r="P20" s="36">
        <f>'All Cash'!$D$38</f>
        <v>379990.00000000006</v>
      </c>
      <c r="Q20" s="37">
        <f>'All Cash'!$H$31</f>
        <v>3.5000000000000003E-2</v>
      </c>
      <c r="R20" s="38">
        <f>'All Cash'!$D$24</f>
        <v>374990</v>
      </c>
      <c r="S20" s="38">
        <v>0</v>
      </c>
      <c r="T20" s="39">
        <f t="shared" si="3"/>
        <v>232004.25897947082</v>
      </c>
      <c r="U20" s="39">
        <v>0</v>
      </c>
      <c r="V20" s="39">
        <f>(R20+T20)*'All Cash'!$H$35</f>
        <v>42489.59812856296</v>
      </c>
      <c r="W20" s="36">
        <f>'All Cash'!$I$27*'All Cash'!$M20</f>
        <v>268276.48901470669</v>
      </c>
      <c r="X20" s="34">
        <f t="shared" si="4"/>
        <v>21142.606358193334</v>
      </c>
      <c r="Y20" s="80">
        <f t="shared" si="5"/>
        <v>0</v>
      </c>
      <c r="Z20" s="70">
        <f t="shared" si="0"/>
        <v>21142.606358193334</v>
      </c>
    </row>
    <row r="21" spans="1:26" ht="14.25" customHeight="1" x14ac:dyDescent="0.25">
      <c r="A21" s="10"/>
      <c r="B21" s="43"/>
      <c r="C21" s="43"/>
      <c r="D21" s="44"/>
      <c r="E21" s="45"/>
      <c r="F21" s="43"/>
      <c r="G21" s="43"/>
      <c r="H21" s="43"/>
      <c r="I21" s="43"/>
      <c r="M21" s="40">
        <v>15</v>
      </c>
      <c r="N21" s="34">
        <f t="shared" si="1"/>
        <v>496711.41935358959</v>
      </c>
      <c r="O21" s="35">
        <f t="shared" si="2"/>
        <v>8.7144647552758331E-2</v>
      </c>
      <c r="P21" s="36">
        <f>'All Cash'!$D$38</f>
        <v>379990.00000000006</v>
      </c>
      <c r="Q21" s="37">
        <f>'All Cash'!$H$31</f>
        <v>3.5000000000000003E-2</v>
      </c>
      <c r="R21" s="38">
        <f>'All Cash'!$D$24</f>
        <v>374990</v>
      </c>
      <c r="S21" s="38">
        <v>0</v>
      </c>
      <c r="T21" s="41">
        <f t="shared" si="3"/>
        <v>253249.05804375221</v>
      </c>
      <c r="U21" s="39">
        <v>0</v>
      </c>
      <c r="V21" s="39">
        <f>(R21+T21)*'All Cash'!$H$35</f>
        <v>43976.734063062657</v>
      </c>
      <c r="W21" s="36">
        <f>'All Cash'!$I$27*'All Cash'!$M21</f>
        <v>287439.09537290002</v>
      </c>
      <c r="X21" s="34">
        <f t="shared" si="4"/>
        <v>21142.606358193334</v>
      </c>
      <c r="Y21" s="80">
        <f t="shared" si="5"/>
        <v>584262.32398068951</v>
      </c>
      <c r="Z21" s="70">
        <f t="shared" si="0"/>
        <v>605404.93033888284</v>
      </c>
    </row>
    <row r="22" spans="1:26" ht="14.25" customHeight="1" x14ac:dyDescent="0.25">
      <c r="A22" s="10"/>
      <c r="B22" s="43"/>
      <c r="C22" s="43"/>
      <c r="D22" s="44"/>
      <c r="E22" s="45"/>
      <c r="F22" s="43"/>
      <c r="G22" s="43"/>
      <c r="H22" s="43"/>
      <c r="I22" s="43"/>
      <c r="M22" s="30">
        <v>16</v>
      </c>
      <c r="N22" s="34">
        <f t="shared" si="1"/>
        <v>536323.20705110685</v>
      </c>
      <c r="O22" s="35">
        <f t="shared" si="2"/>
        <v>8.8213375195910868E-2</v>
      </c>
      <c r="P22" s="36">
        <f>'All Cash'!$D$38</f>
        <v>379990.00000000006</v>
      </c>
      <c r="Q22" s="37">
        <f>'All Cash'!$H$31</f>
        <v>3.5000000000000003E-2</v>
      </c>
      <c r="R22" s="38">
        <f>'All Cash'!$D$24</f>
        <v>374990</v>
      </c>
      <c r="S22" s="38">
        <v>0</v>
      </c>
      <c r="T22" s="39">
        <f t="shared" si="3"/>
        <v>275237.42507528339</v>
      </c>
      <c r="U22" s="39">
        <v>0</v>
      </c>
      <c r="V22" s="39">
        <f>(R22+T22)*'All Cash'!$H$35</f>
        <v>45515.919755269839</v>
      </c>
      <c r="W22" s="36">
        <f>'All Cash'!$I$27*'All Cash'!$M22</f>
        <v>306601.70173109334</v>
      </c>
      <c r="X22" s="34">
        <f t="shared" si="4"/>
        <v>21142.606358193334</v>
      </c>
      <c r="Y22" s="80">
        <f t="shared" si="5"/>
        <v>0</v>
      </c>
      <c r="Z22" s="70">
        <f t="shared" si="0"/>
        <v>0</v>
      </c>
    </row>
    <row r="23" spans="1:26" ht="18" x14ac:dyDescent="0.25">
      <c r="A23" s="10"/>
      <c r="B23" s="46" t="s">
        <v>0</v>
      </c>
      <c r="C23" s="46"/>
      <c r="D23" s="47"/>
      <c r="E23" s="48"/>
      <c r="F23" s="49"/>
      <c r="G23" s="46" t="s">
        <v>23</v>
      </c>
      <c r="H23" s="48" t="s">
        <v>11</v>
      </c>
      <c r="I23" s="48" t="s">
        <v>12</v>
      </c>
      <c r="M23" s="30">
        <v>17</v>
      </c>
      <c r="N23" s="34">
        <f t="shared" si="1"/>
        <v>576650.71609550063</v>
      </c>
      <c r="O23" s="35">
        <f t="shared" si="2"/>
        <v>8.9267165868993539E-2</v>
      </c>
      <c r="P23" s="36">
        <f>'All Cash'!$D$38</f>
        <v>379990.00000000006</v>
      </c>
      <c r="Q23" s="37">
        <f>'All Cash'!$H$31</f>
        <v>3.5000000000000003E-2</v>
      </c>
      <c r="R23" s="38">
        <f>'All Cash'!$D$24</f>
        <v>374990</v>
      </c>
      <c r="S23" s="38">
        <v>0</v>
      </c>
      <c r="T23" s="39">
        <f t="shared" si="3"/>
        <v>297995.38495291828</v>
      </c>
      <c r="U23" s="39">
        <v>0</v>
      </c>
      <c r="V23" s="39">
        <f>(R23+T23)*'All Cash'!$H$35</f>
        <v>47108.976946704286</v>
      </c>
      <c r="W23" s="36">
        <f>'All Cash'!$I$27*'All Cash'!$M23</f>
        <v>325764.30808928667</v>
      </c>
      <c r="X23" s="34">
        <f t="shared" si="4"/>
        <v>21142.606358193334</v>
      </c>
      <c r="Y23" s="80">
        <f t="shared" si="5"/>
        <v>0</v>
      </c>
      <c r="Z23" s="70">
        <f t="shared" si="0"/>
        <v>0</v>
      </c>
    </row>
    <row r="24" spans="1:26" x14ac:dyDescent="0.25">
      <c r="A24" s="10"/>
      <c r="B24" s="56" t="s">
        <v>84</v>
      </c>
      <c r="C24" s="56"/>
      <c r="D24" s="61">
        <f>D34</f>
        <v>374990</v>
      </c>
      <c r="E24" s="45"/>
      <c r="F24" s="43"/>
      <c r="G24" s="44" t="s">
        <v>24</v>
      </c>
      <c r="H24" s="50">
        <f>Summary!C11</f>
        <v>1375</v>
      </c>
      <c r="I24" s="53">
        <f>H24*12</f>
        <v>16500</v>
      </c>
      <c r="M24" s="30">
        <v>18</v>
      </c>
      <c r="N24" s="34">
        <f t="shared" si="1"/>
        <v>617718.99673391145</v>
      </c>
      <c r="O24" s="35">
        <f t="shared" si="2"/>
        <v>9.0312171480230671E-2</v>
      </c>
      <c r="P24" s="36">
        <f>'All Cash'!$D$38</f>
        <v>379990.00000000006</v>
      </c>
      <c r="Q24" s="37">
        <f>'All Cash'!$H$31</f>
        <v>3.5000000000000003E-2</v>
      </c>
      <c r="R24" s="38">
        <f>'All Cash'!$D$24</f>
        <v>374990</v>
      </c>
      <c r="S24" s="38">
        <v>0</v>
      </c>
      <c r="T24" s="39">
        <f t="shared" si="3"/>
        <v>321549.87342627044</v>
      </c>
      <c r="U24" s="39">
        <v>0</v>
      </c>
      <c r="V24" s="39">
        <f>(R24+T24)*'All Cash'!$H$35</f>
        <v>48757.791139838933</v>
      </c>
      <c r="W24" s="36">
        <f>'All Cash'!$I$27*'All Cash'!$M24</f>
        <v>344926.91444748</v>
      </c>
      <c r="X24" s="34">
        <f t="shared" si="4"/>
        <v>21142.606358193334</v>
      </c>
      <c r="Y24" s="80">
        <f t="shared" si="5"/>
        <v>0</v>
      </c>
      <c r="Z24" s="70">
        <f t="shared" si="0"/>
        <v>0</v>
      </c>
    </row>
    <row r="25" spans="1:26" x14ac:dyDescent="0.25">
      <c r="A25" s="10"/>
      <c r="B25" s="56" t="s">
        <v>89</v>
      </c>
      <c r="C25" s="56"/>
      <c r="D25" s="61">
        <f>I25</f>
        <v>33000</v>
      </c>
      <c r="E25" s="45"/>
      <c r="F25" s="43"/>
      <c r="G25" s="44" t="s">
        <v>135</v>
      </c>
      <c r="H25" s="50">
        <f>H24*2</f>
        <v>2750</v>
      </c>
      <c r="I25" s="53">
        <f t="shared" ref="I25" si="6">H25*12</f>
        <v>33000</v>
      </c>
      <c r="M25" s="30">
        <v>19</v>
      </c>
      <c r="N25" s="34">
        <f t="shared" si="1"/>
        <v>659553.97597212985</v>
      </c>
      <c r="O25" s="35">
        <f t="shared" si="2"/>
        <v>9.1353370237184886E-2</v>
      </c>
      <c r="P25" s="36">
        <f>'All Cash'!$D$38</f>
        <v>379990.00000000006</v>
      </c>
      <c r="Q25" s="37">
        <f>'All Cash'!$H$31</f>
        <v>3.5000000000000003E-2</v>
      </c>
      <c r="R25" s="38">
        <f>'All Cash'!$D$24</f>
        <v>374990</v>
      </c>
      <c r="S25" s="38">
        <v>0</v>
      </c>
      <c r="T25" s="39">
        <f t="shared" si="3"/>
        <v>345928.76899618981</v>
      </c>
      <c r="U25" s="39">
        <v>0</v>
      </c>
      <c r="V25" s="39">
        <f>(R25+T25)*'All Cash'!$H$35</f>
        <v>50464.313829733292</v>
      </c>
      <c r="W25" s="36">
        <f>'All Cash'!$I$27*'All Cash'!$M25</f>
        <v>364089.52080567332</v>
      </c>
      <c r="X25" s="34">
        <f t="shared" si="4"/>
        <v>21142.606358193334</v>
      </c>
      <c r="Y25" s="80">
        <f t="shared" si="5"/>
        <v>0</v>
      </c>
      <c r="Z25" s="70">
        <f t="shared" si="0"/>
        <v>0</v>
      </c>
    </row>
    <row r="26" spans="1:26" x14ac:dyDescent="0.25">
      <c r="A26" s="10"/>
      <c r="B26" s="56" t="s">
        <v>2</v>
      </c>
      <c r="C26" s="56"/>
      <c r="D26" s="61">
        <f>D38</f>
        <v>379990.00000000006</v>
      </c>
      <c r="E26" s="45"/>
      <c r="F26" s="43"/>
      <c r="G26" s="44" t="s">
        <v>116</v>
      </c>
      <c r="H26" s="50">
        <f>D47</f>
        <v>1153.1161368172222</v>
      </c>
      <c r="I26" s="50">
        <f>E47</f>
        <v>13837.393641806666</v>
      </c>
      <c r="M26" s="30">
        <v>20</v>
      </c>
      <c r="N26" s="34">
        <f t="shared" si="1"/>
        <v>702182.48826114903</v>
      </c>
      <c r="O26" s="35">
        <f t="shared" si="2"/>
        <v>9.2394864109733008E-2</v>
      </c>
      <c r="P26" s="36">
        <f>'All Cash'!$D$38</f>
        <v>379990.00000000006</v>
      </c>
      <c r="Q26" s="37">
        <f>'All Cash'!$H$31</f>
        <v>3.5000000000000003E-2</v>
      </c>
      <c r="R26" s="38">
        <f>'All Cash'!$D$24</f>
        <v>374990</v>
      </c>
      <c r="S26" s="38">
        <v>0</v>
      </c>
      <c r="T26" s="39">
        <f t="shared" si="3"/>
        <v>371160.92591105634</v>
      </c>
      <c r="U26" s="39">
        <v>0</v>
      </c>
      <c r="V26" s="39">
        <f>(R26+T26)*'All Cash'!$H$35</f>
        <v>52230.564813773948</v>
      </c>
      <c r="W26" s="36">
        <f>'All Cash'!$I$27*'All Cash'!$M26</f>
        <v>383252.12716386665</v>
      </c>
      <c r="X26" s="34">
        <f t="shared" si="4"/>
        <v>21142.606358193334</v>
      </c>
      <c r="Y26" s="80">
        <f t="shared" si="5"/>
        <v>0</v>
      </c>
      <c r="Z26" s="70">
        <f t="shared" si="0"/>
        <v>0</v>
      </c>
    </row>
    <row r="27" spans="1:26" x14ac:dyDescent="0.25">
      <c r="A27" s="10"/>
      <c r="B27" s="56" t="s">
        <v>124</v>
      </c>
      <c r="C27" s="56"/>
      <c r="D27" s="61">
        <f>H27</f>
        <v>1596.8838631827778</v>
      </c>
      <c r="E27" s="45"/>
      <c r="F27" s="43"/>
      <c r="G27" s="56" t="s">
        <v>118</v>
      </c>
      <c r="H27" s="58">
        <f>H25-H26</f>
        <v>1596.8838631827778</v>
      </c>
      <c r="I27" s="59">
        <f>H27*12</f>
        <v>19162.606358193334</v>
      </c>
      <c r="M27" s="30">
        <v>21</v>
      </c>
      <c r="N27" s="34">
        <f t="shared" si="1"/>
        <v>745632.30725774728</v>
      </c>
      <c r="O27" s="35">
        <f t="shared" si="2"/>
        <v>9.344009143821419E-2</v>
      </c>
      <c r="P27" s="36">
        <f>'All Cash'!$D$38</f>
        <v>379990.00000000006</v>
      </c>
      <c r="Q27" s="37">
        <f>'All Cash'!$H$31</f>
        <v>3.5000000000000003E-2</v>
      </c>
      <c r="R27" s="38">
        <f>'All Cash'!$D$24</f>
        <v>374990</v>
      </c>
      <c r="S27" s="38">
        <v>0</v>
      </c>
      <c r="T27" s="39">
        <f t="shared" si="3"/>
        <v>397276.20831794315</v>
      </c>
      <c r="U27" s="39">
        <v>0</v>
      </c>
      <c r="V27" s="39">
        <f>(R27+T27)*'All Cash'!$H$35</f>
        <v>54058.634582256025</v>
      </c>
      <c r="W27" s="36">
        <f>'All Cash'!$I$27*'All Cash'!$M27</f>
        <v>402414.73352206004</v>
      </c>
      <c r="X27" s="34">
        <f t="shared" si="4"/>
        <v>21142.606358193334</v>
      </c>
      <c r="Y27" s="80">
        <f t="shared" si="5"/>
        <v>0</v>
      </c>
      <c r="Z27" s="70">
        <f t="shared" si="0"/>
        <v>0</v>
      </c>
    </row>
    <row r="28" spans="1:26" x14ac:dyDescent="0.25">
      <c r="A28" s="10"/>
      <c r="B28" s="56" t="s">
        <v>125</v>
      </c>
      <c r="C28" s="56"/>
      <c r="D28" s="61">
        <f>H28</f>
        <v>1761.8838631827778</v>
      </c>
      <c r="E28" s="45"/>
      <c r="F28" s="43"/>
      <c r="G28" s="56" t="s">
        <v>117</v>
      </c>
      <c r="H28" s="58">
        <f>H25-H26+D45+D46</f>
        <v>1761.8838631827778</v>
      </c>
      <c r="I28" s="59">
        <f>H28*12</f>
        <v>21142.606358193334</v>
      </c>
      <c r="M28" s="30">
        <v>22</v>
      </c>
      <c r="N28" s="34">
        <f t="shared" si="1"/>
        <v>789932.17869668955</v>
      </c>
      <c r="O28" s="35">
        <f t="shared" si="2"/>
        <v>9.4491981690509735E-2</v>
      </c>
      <c r="P28" s="36">
        <f>'All Cash'!$D$38</f>
        <v>379990.00000000006</v>
      </c>
      <c r="Q28" s="37">
        <f>'All Cash'!$H$31</f>
        <v>3.5000000000000003E-2</v>
      </c>
      <c r="R28" s="38">
        <f>'All Cash'!$D$24</f>
        <v>374990</v>
      </c>
      <c r="S28" s="38">
        <v>0</v>
      </c>
      <c r="T28" s="39">
        <f t="shared" si="3"/>
        <v>424305.52560907125</v>
      </c>
      <c r="U28" s="39">
        <v>0</v>
      </c>
      <c r="V28" s="39">
        <f>(R28+T28)*'All Cash'!$H$35</f>
        <v>55950.686792634995</v>
      </c>
      <c r="W28" s="36">
        <f>'All Cash'!$I$27*'All Cash'!$M28</f>
        <v>421577.33988025336</v>
      </c>
      <c r="X28" s="34">
        <f t="shared" si="4"/>
        <v>21142.606358193334</v>
      </c>
      <c r="Y28" s="80">
        <f t="shared" si="5"/>
        <v>0</v>
      </c>
      <c r="Z28" s="70">
        <f t="shared" si="0"/>
        <v>0</v>
      </c>
    </row>
    <row r="29" spans="1:26" x14ac:dyDescent="0.25">
      <c r="A29" s="10"/>
      <c r="B29" s="56" t="s">
        <v>3</v>
      </c>
      <c r="C29" s="56"/>
      <c r="D29" s="61">
        <f>H38</f>
        <v>496711.41935358959</v>
      </c>
      <c r="E29" s="45"/>
      <c r="F29" s="43"/>
      <c r="G29" s="10"/>
      <c r="H29" s="10"/>
      <c r="I29" s="10"/>
      <c r="M29" s="30">
        <v>23</v>
      </c>
      <c r="N29" s="34">
        <f t="shared" si="1"/>
        <v>835111.85441345815</v>
      </c>
      <c r="O29" s="35">
        <f t="shared" si="2"/>
        <v>9.5553069979353908E-2</v>
      </c>
      <c r="P29" s="36">
        <f>'All Cash'!$D$38</f>
        <v>379990.00000000006</v>
      </c>
      <c r="Q29" s="37">
        <f>'All Cash'!$H$31</f>
        <v>3.5000000000000003E-2</v>
      </c>
      <c r="R29" s="38">
        <f>'All Cash'!$D$24</f>
        <v>374990</v>
      </c>
      <c r="S29" s="38">
        <v>0</v>
      </c>
      <c r="T29" s="39">
        <f t="shared" si="3"/>
        <v>452280.8690053887</v>
      </c>
      <c r="U29" s="39">
        <v>0</v>
      </c>
      <c r="V29" s="39">
        <f>(R29+T29)*'All Cash'!$H$35</f>
        <v>57908.960830377211</v>
      </c>
      <c r="W29" s="36">
        <f>'All Cash'!$I$27*'All Cash'!$M29</f>
        <v>440739.94623844669</v>
      </c>
      <c r="X29" s="34">
        <f t="shared" si="4"/>
        <v>21142.606358193334</v>
      </c>
      <c r="Y29" s="80">
        <f t="shared" si="5"/>
        <v>0</v>
      </c>
      <c r="Z29" s="70">
        <f t="shared" si="0"/>
        <v>0</v>
      </c>
    </row>
    <row r="30" spans="1:26" ht="18" x14ac:dyDescent="0.25">
      <c r="A30" s="10"/>
      <c r="B30" s="56" t="s">
        <v>4</v>
      </c>
      <c r="C30" s="56"/>
      <c r="D30" s="57">
        <f>H42</f>
        <v>8.7144647552758331E-2</v>
      </c>
      <c r="E30" s="45"/>
      <c r="F30" s="43"/>
      <c r="G30" s="46" t="s">
        <v>25</v>
      </c>
      <c r="H30" s="48"/>
      <c r="I30" s="48"/>
      <c r="M30" s="30">
        <v>24</v>
      </c>
      <c r="N30" s="34">
        <f t="shared" si="1"/>
        <v>881202.12755777675</v>
      </c>
      <c r="O30" s="35">
        <f t="shared" si="2"/>
        <v>9.6625583080889921E-2</v>
      </c>
      <c r="P30" s="36">
        <f>'All Cash'!$D$38</f>
        <v>379990.00000000006</v>
      </c>
      <c r="Q30" s="37">
        <f>'All Cash'!$H$31</f>
        <v>3.5000000000000003E-2</v>
      </c>
      <c r="R30" s="38">
        <f>'All Cash'!$D$24</f>
        <v>374990</v>
      </c>
      <c r="S30" s="38">
        <v>0</v>
      </c>
      <c r="T30" s="39">
        <f t="shared" si="3"/>
        <v>481235.34942057717</v>
      </c>
      <c r="U30" s="39">
        <v>0</v>
      </c>
      <c r="V30" s="39">
        <f>(R30+T30)*'All Cash'!$H$35</f>
        <v>59935.774459440407</v>
      </c>
      <c r="W30" s="36">
        <f>'All Cash'!$I$27*'All Cash'!$M30</f>
        <v>459902.55259664002</v>
      </c>
      <c r="X30" s="34">
        <f t="shared" si="4"/>
        <v>21142.606358193334</v>
      </c>
      <c r="Y30" s="80">
        <f t="shared" si="5"/>
        <v>0</v>
      </c>
      <c r="Z30" s="70">
        <f t="shared" si="0"/>
        <v>0</v>
      </c>
    </row>
    <row r="31" spans="1:26" x14ac:dyDescent="0.25">
      <c r="A31" s="10"/>
      <c r="B31" s="56" t="s">
        <v>123</v>
      </c>
      <c r="D31" s="57">
        <f>H43</f>
        <v>7.605459878480425E-2</v>
      </c>
      <c r="F31" s="43"/>
      <c r="G31" s="44" t="s">
        <v>26</v>
      </c>
      <c r="H31" s="62">
        <f>Summary!C12</f>
        <v>3.5000000000000003E-2</v>
      </c>
      <c r="I31" s="45"/>
      <c r="M31" s="30">
        <v>25</v>
      </c>
      <c r="N31" s="34">
        <f t="shared" si="1"/>
        <v>928234.8690396098</v>
      </c>
      <c r="O31" s="35">
        <f t="shared" si="2"/>
        <v>9.7711504938509927E-2</v>
      </c>
      <c r="P31" s="36">
        <f>'All Cash'!$D$38</f>
        <v>379990.00000000006</v>
      </c>
      <c r="Q31" s="37">
        <f>'All Cash'!$H$31</f>
        <v>3.5000000000000003E-2</v>
      </c>
      <c r="R31" s="38">
        <f>'All Cash'!$D$24</f>
        <v>374990</v>
      </c>
      <c r="S31" s="38">
        <v>0</v>
      </c>
      <c r="T31" s="39">
        <f t="shared" si="3"/>
        <v>511203.2366502973</v>
      </c>
      <c r="U31" s="39">
        <v>0</v>
      </c>
      <c r="V31" s="39">
        <f>(R31+T31)*'All Cash'!$H$35</f>
        <v>62033.52656552082</v>
      </c>
      <c r="W31" s="36">
        <f>'All Cash'!$I$27*'All Cash'!$M31</f>
        <v>479065.15895483334</v>
      </c>
      <c r="X31" s="34">
        <f t="shared" si="4"/>
        <v>21142.606358193334</v>
      </c>
      <c r="Y31" s="80">
        <f t="shared" si="5"/>
        <v>0</v>
      </c>
      <c r="Z31" s="70">
        <f t="shared" si="0"/>
        <v>0</v>
      </c>
    </row>
    <row r="32" spans="1:26" x14ac:dyDescent="0.25">
      <c r="A32" s="10"/>
      <c r="B32" s="56" t="s">
        <v>5</v>
      </c>
      <c r="C32" s="56"/>
      <c r="D32" s="57">
        <f>H44</f>
        <v>5.1101646332417754E-2</v>
      </c>
      <c r="E32" s="45"/>
      <c r="F32" s="43"/>
      <c r="G32" s="44" t="s">
        <v>27</v>
      </c>
      <c r="H32" s="79">
        <f>Summary!C13</f>
        <v>15</v>
      </c>
      <c r="I32" s="45"/>
      <c r="M32" s="30">
        <v>26</v>
      </c>
      <c r="N32" s="34">
        <f t="shared" si="1"/>
        <v>976243.06525077019</v>
      </c>
      <c r="O32" s="35">
        <f t="shared" si="2"/>
        <v>9.8812627179538134E-2</v>
      </c>
      <c r="P32" s="36">
        <f>'All Cash'!$D$38</f>
        <v>379990.00000000006</v>
      </c>
      <c r="Q32" s="37">
        <f>'All Cash'!$H$31</f>
        <v>3.5000000000000003E-2</v>
      </c>
      <c r="R32" s="38">
        <f>'All Cash'!$D$24</f>
        <v>374990</v>
      </c>
      <c r="S32" s="38">
        <v>0</v>
      </c>
      <c r="T32" s="39">
        <f t="shared" si="3"/>
        <v>542219.99993305758</v>
      </c>
      <c r="U32" s="39">
        <v>0</v>
      </c>
      <c r="V32" s="39">
        <f>(R32+T32)*'All Cash'!$H$35</f>
        <v>64204.69999531404</v>
      </c>
      <c r="W32" s="36">
        <f>'All Cash'!$I$27*'All Cash'!$M32</f>
        <v>498227.76531302667</v>
      </c>
      <c r="X32" s="34">
        <f t="shared" si="4"/>
        <v>21142.606358193334</v>
      </c>
      <c r="Y32" s="80">
        <f t="shared" si="5"/>
        <v>0</v>
      </c>
      <c r="Z32" s="70">
        <f t="shared" si="0"/>
        <v>0</v>
      </c>
    </row>
    <row r="33" spans="1:26" ht="18" x14ac:dyDescent="0.25">
      <c r="A33" s="10"/>
      <c r="B33" s="46" t="s">
        <v>6</v>
      </c>
      <c r="C33" s="46"/>
      <c r="D33" s="47"/>
      <c r="E33" s="48"/>
      <c r="F33" s="43"/>
      <c r="G33" s="56" t="str">
        <f>CONCATENATE("Appreciation After ",H32," Years")</f>
        <v>Appreciation After 15 Years</v>
      </c>
      <c r="H33" s="58">
        <f>$D$34*(1+H31)^H32-$D$34</f>
        <v>253249.05804375221</v>
      </c>
      <c r="I33" s="10"/>
      <c r="M33" s="30">
        <v>27</v>
      </c>
      <c r="N33" s="34">
        <f t="shared" si="1"/>
        <v>1025260.8571067846</v>
      </c>
      <c r="O33" s="35">
        <f t="shared" si="2"/>
        <v>9.9930588534667533E-2</v>
      </c>
      <c r="P33" s="36">
        <f>'All Cash'!$D$38</f>
        <v>379990.00000000006</v>
      </c>
      <c r="Q33" s="37">
        <f>'All Cash'!$H$31</f>
        <v>3.5000000000000003E-2</v>
      </c>
      <c r="R33" s="38">
        <f>'All Cash'!$D$24</f>
        <v>374990</v>
      </c>
      <c r="S33" s="38">
        <v>0</v>
      </c>
      <c r="T33" s="39">
        <f t="shared" si="3"/>
        <v>574322.3499307147</v>
      </c>
      <c r="U33" s="39">
        <v>0</v>
      </c>
      <c r="V33" s="39">
        <f>(R33+T33)*'All Cash'!$H$35</f>
        <v>66451.864495150032</v>
      </c>
      <c r="W33" s="36">
        <f>'All Cash'!$I$27*'All Cash'!$M33</f>
        <v>517390.37167122</v>
      </c>
      <c r="X33" s="34">
        <f t="shared" si="4"/>
        <v>21142.606358193334</v>
      </c>
      <c r="Y33" s="80">
        <f t="shared" si="5"/>
        <v>0</v>
      </c>
      <c r="Z33" s="70">
        <f t="shared" si="0"/>
        <v>0</v>
      </c>
    </row>
    <row r="34" spans="1:26" x14ac:dyDescent="0.25">
      <c r="A34" s="10"/>
      <c r="B34" s="44" t="s">
        <v>84</v>
      </c>
      <c r="C34" s="44"/>
      <c r="D34" s="50">
        <f>Summary!C8</f>
        <v>374990</v>
      </c>
      <c r="E34" s="45"/>
      <c r="F34" s="43"/>
      <c r="G34" s="10"/>
      <c r="H34" s="10"/>
      <c r="I34" s="10"/>
      <c r="M34" s="30">
        <v>28</v>
      </c>
      <c r="N34" s="34">
        <f t="shared" si="1"/>
        <v>1075323.5804552229</v>
      </c>
      <c r="O34" s="35">
        <f t="shared" si="2"/>
        <v>0.10106690593880505</v>
      </c>
      <c r="P34" s="36">
        <f>'All Cash'!$D$38</f>
        <v>379990.00000000006</v>
      </c>
      <c r="Q34" s="37">
        <f>'All Cash'!$H$31</f>
        <v>3.5000000000000003E-2</v>
      </c>
      <c r="R34" s="38">
        <f>'All Cash'!$D$24</f>
        <v>374990</v>
      </c>
      <c r="S34" s="38">
        <v>0</v>
      </c>
      <c r="T34" s="39">
        <f t="shared" si="3"/>
        <v>607548.28217828972</v>
      </c>
      <c r="U34" s="39">
        <v>0</v>
      </c>
      <c r="V34" s="39">
        <f>(R34+T34)*'All Cash'!$H$35</f>
        <v>68777.679752480282</v>
      </c>
      <c r="W34" s="36">
        <f>'All Cash'!$I$27*'All Cash'!$M34</f>
        <v>536552.97802941338</v>
      </c>
      <c r="X34" s="34">
        <f t="shared" si="4"/>
        <v>21142.606358193334</v>
      </c>
      <c r="Y34" s="80">
        <f t="shared" si="5"/>
        <v>0</v>
      </c>
      <c r="Z34" s="70">
        <f t="shared" si="0"/>
        <v>0</v>
      </c>
    </row>
    <row r="35" spans="1:26" x14ac:dyDescent="0.25">
      <c r="A35" s="10"/>
      <c r="B35" s="44" t="s">
        <v>8</v>
      </c>
      <c r="C35" s="81">
        <v>1.0000000000000002</v>
      </c>
      <c r="D35" s="52">
        <f>C35*D34</f>
        <v>374990.00000000006</v>
      </c>
      <c r="E35" s="45"/>
      <c r="F35" s="43"/>
      <c r="G35" s="44" t="s">
        <v>31</v>
      </c>
      <c r="H35" s="51">
        <v>7.0000000000000007E-2</v>
      </c>
      <c r="I35" s="45" t="s">
        <v>74</v>
      </c>
      <c r="M35" s="30">
        <v>29</v>
      </c>
      <c r="N35" s="34">
        <f t="shared" si="1"/>
        <v>1126467.8078983193</v>
      </c>
      <c r="O35" s="35">
        <f t="shared" si="2"/>
        <v>0.10222299932560105</v>
      </c>
      <c r="P35" s="36">
        <f>'All Cash'!$D$38</f>
        <v>379990.00000000006</v>
      </c>
      <c r="Q35" s="37">
        <f>'All Cash'!$H$31</f>
        <v>3.5000000000000003E-2</v>
      </c>
      <c r="R35" s="38">
        <f>'All Cash'!$D$24</f>
        <v>374990</v>
      </c>
      <c r="S35" s="38">
        <v>0</v>
      </c>
      <c r="T35" s="39">
        <f t="shared" si="3"/>
        <v>641937.12205452961</v>
      </c>
      <c r="U35" s="39">
        <v>0</v>
      </c>
      <c r="V35" s="39">
        <f>(R35+T35)*'All Cash'!$H$35</f>
        <v>71184.898543817078</v>
      </c>
      <c r="W35" s="36">
        <f>'All Cash'!$I$27*'All Cash'!$M35</f>
        <v>555715.58438760671</v>
      </c>
      <c r="X35" s="34">
        <f t="shared" si="4"/>
        <v>21142.606358193334</v>
      </c>
      <c r="Y35" s="80">
        <f t="shared" si="5"/>
        <v>0</v>
      </c>
      <c r="Z35" s="70">
        <f t="shared" si="0"/>
        <v>0</v>
      </c>
    </row>
    <row r="36" spans="1:26" x14ac:dyDescent="0.25">
      <c r="A36" s="10"/>
      <c r="B36" s="44" t="s">
        <v>85</v>
      </c>
      <c r="C36" s="44"/>
      <c r="D36" s="52">
        <v>5000</v>
      </c>
      <c r="E36" s="45"/>
      <c r="F36" s="43"/>
      <c r="G36" s="44" t="s">
        <v>32</v>
      </c>
      <c r="H36" s="52">
        <f>(D34+H33)*$H$35</f>
        <v>43976.734063062657</v>
      </c>
      <c r="I36" s="45"/>
      <c r="M36" s="30">
        <v>30</v>
      </c>
      <c r="N36" s="34">
        <f t="shared" si="1"/>
        <v>1178731.3920793876</v>
      </c>
      <c r="O36" s="35">
        <f t="shared" si="2"/>
        <v>0.10340021159147937</v>
      </c>
      <c r="P36" s="36">
        <f>'All Cash'!$D$38</f>
        <v>379990.00000000006</v>
      </c>
      <c r="Q36" s="37">
        <f>'All Cash'!$H$31</f>
        <v>3.5000000000000003E-2</v>
      </c>
      <c r="R36" s="38">
        <f>'All Cash'!$D$24</f>
        <v>374990</v>
      </c>
      <c r="S36" s="38">
        <v>0</v>
      </c>
      <c r="T36" s="39">
        <f t="shared" si="3"/>
        <v>677529.5713264381</v>
      </c>
      <c r="U36" s="39">
        <v>0</v>
      </c>
      <c r="V36" s="39">
        <f>(R36+T36)*'All Cash'!$H$35</f>
        <v>73676.369992850668</v>
      </c>
      <c r="W36" s="36">
        <f>'All Cash'!$I$27*'All Cash'!$M36</f>
        <v>574878.19074580004</v>
      </c>
      <c r="X36" s="34">
        <f t="shared" si="4"/>
        <v>21142.606358193334</v>
      </c>
      <c r="Y36" s="80">
        <f t="shared" si="5"/>
        <v>0</v>
      </c>
      <c r="Z36" s="70">
        <f t="shared" si="0"/>
        <v>0</v>
      </c>
    </row>
    <row r="37" spans="1:26" x14ac:dyDescent="0.25">
      <c r="A37" s="10"/>
      <c r="B37" s="44" t="s">
        <v>9</v>
      </c>
      <c r="C37" s="44"/>
      <c r="D37" s="50">
        <v>0</v>
      </c>
      <c r="E37" s="60"/>
      <c r="F37" s="43"/>
      <c r="G37" s="56" t="s">
        <v>28</v>
      </c>
      <c r="H37" s="64">
        <f>H32*I27</f>
        <v>287439.09537290002</v>
      </c>
      <c r="I37" s="45"/>
      <c r="J37" s="3"/>
      <c r="N37" s="34"/>
      <c r="Z37" s="70"/>
    </row>
    <row r="38" spans="1:26" x14ac:dyDescent="0.25">
      <c r="A38" s="10"/>
      <c r="B38" s="56" t="s">
        <v>2</v>
      </c>
      <c r="C38" s="56"/>
      <c r="D38" s="61">
        <f>SUM(D35:D37)</f>
        <v>379990.00000000006</v>
      </c>
      <c r="E38" s="45"/>
      <c r="F38" s="43"/>
      <c r="G38" s="56" t="s">
        <v>3</v>
      </c>
      <c r="H38" s="58">
        <f>H37+H33-H36</f>
        <v>496711.41935358959</v>
      </c>
      <c r="I38" s="45"/>
      <c r="J38" s="3"/>
      <c r="Z38" s="70"/>
    </row>
    <row r="39" spans="1:26" ht="18" x14ac:dyDescent="0.25">
      <c r="A39" s="10"/>
      <c r="B39" s="46" t="s">
        <v>115</v>
      </c>
      <c r="C39" s="46"/>
      <c r="D39" s="48" t="s">
        <v>11</v>
      </c>
      <c r="E39" s="48" t="s">
        <v>12</v>
      </c>
      <c r="F39" s="43"/>
      <c r="G39" s="10"/>
      <c r="H39" s="10"/>
      <c r="I39" s="45"/>
      <c r="Z39" s="70"/>
    </row>
    <row r="40" spans="1:26" x14ac:dyDescent="0.25">
      <c r="A40" s="10"/>
      <c r="B40" s="44" t="s">
        <v>17</v>
      </c>
      <c r="C40" s="82">
        <v>2.0030539999999999E-2</v>
      </c>
      <c r="D40" s="52">
        <f>C40*0.9*D34/12</f>
        <v>563.343914595</v>
      </c>
      <c r="E40" s="53">
        <f t="shared" ref="E40:E46" si="7">D40*12</f>
        <v>6760.1269751399996</v>
      </c>
      <c r="F40" s="43"/>
      <c r="G40" s="56" t="s">
        <v>119</v>
      </c>
      <c r="H40" s="65">
        <f>((H37/D38)/H32)</f>
        <v>5.0429238554154932E-2</v>
      </c>
      <c r="I40" s="45"/>
      <c r="Z40" s="70"/>
    </row>
    <row r="41" spans="1:26" x14ac:dyDescent="0.25">
      <c r="A41" s="10"/>
      <c r="B41" s="44" t="s">
        <v>86</v>
      </c>
      <c r="C41" s="44"/>
      <c r="D41" s="50">
        <v>105</v>
      </c>
      <c r="E41" s="53">
        <f t="shared" si="7"/>
        <v>1260</v>
      </c>
      <c r="F41" s="43"/>
      <c r="G41" s="56" t="s">
        <v>120</v>
      </c>
      <c r="H41" s="65">
        <f>((I28*H32)/D38)/H32</f>
        <v>5.5639901992666468E-2</v>
      </c>
      <c r="I41" s="45"/>
      <c r="Z41" s="70"/>
    </row>
    <row r="42" spans="1:26" x14ac:dyDescent="0.25">
      <c r="A42" s="10"/>
      <c r="B42" s="44" t="s">
        <v>126</v>
      </c>
      <c r="C42" s="44"/>
      <c r="D42" s="50">
        <f>1000/12</f>
        <v>83.333333333333329</v>
      </c>
      <c r="E42" s="53">
        <f t="shared" si="7"/>
        <v>1000</v>
      </c>
      <c r="F42" s="43"/>
      <c r="G42" s="56" t="s">
        <v>4</v>
      </c>
      <c r="H42" s="65">
        <f>H38/D38/H32</f>
        <v>8.7144647552758331E-2</v>
      </c>
      <c r="I42" s="45"/>
      <c r="Z42" s="70"/>
    </row>
    <row r="43" spans="1:26" x14ac:dyDescent="0.25">
      <c r="A43" s="10"/>
      <c r="B43" s="44" t="s">
        <v>18</v>
      </c>
      <c r="C43" s="84">
        <v>0.06</v>
      </c>
      <c r="D43" s="52">
        <f>(H25-D45)*C43</f>
        <v>160.04999999999998</v>
      </c>
      <c r="E43" s="53">
        <f t="shared" si="7"/>
        <v>1920.6</v>
      </c>
      <c r="F43" s="43"/>
      <c r="G43" s="56" t="s">
        <v>123</v>
      </c>
      <c r="H43" s="65">
        <f>IRR(Z6:Z36)</f>
        <v>7.605459878480425E-2</v>
      </c>
      <c r="I43" s="45"/>
    </row>
    <row r="44" spans="1:26" x14ac:dyDescent="0.25">
      <c r="A44" s="10"/>
      <c r="B44" s="44" t="s">
        <v>22</v>
      </c>
      <c r="C44" s="81">
        <v>0.5</v>
      </c>
      <c r="D44" s="52">
        <f>(C44*H25)/18</f>
        <v>76.388888888888886</v>
      </c>
      <c r="E44" s="53">
        <f t="shared" si="7"/>
        <v>916.66666666666663</v>
      </c>
      <c r="F44" s="43"/>
      <c r="G44" s="56" t="s">
        <v>5</v>
      </c>
      <c r="H44" s="65">
        <f>(I25-E47)/D34</f>
        <v>5.1101646332417754E-2</v>
      </c>
      <c r="I44" s="45"/>
    </row>
    <row r="45" spans="1:26" x14ac:dyDescent="0.25">
      <c r="A45" s="10"/>
      <c r="B45" s="44" t="s">
        <v>20</v>
      </c>
      <c r="C45" s="81">
        <v>0.03</v>
      </c>
      <c r="D45" s="52">
        <f>C45*H25</f>
        <v>82.5</v>
      </c>
      <c r="E45" s="53">
        <f t="shared" si="7"/>
        <v>990</v>
      </c>
      <c r="F45" s="43"/>
      <c r="G45" s="10"/>
      <c r="H45" s="10"/>
      <c r="I45" s="10"/>
    </row>
    <row r="46" spans="1:26" ht="18" x14ac:dyDescent="0.25">
      <c r="A46" s="10"/>
      <c r="B46" s="44" t="s">
        <v>83</v>
      </c>
      <c r="C46" s="81">
        <v>0.03</v>
      </c>
      <c r="D46" s="52">
        <f>C46*H25</f>
        <v>82.5</v>
      </c>
      <c r="E46" s="53">
        <f t="shared" si="7"/>
        <v>990</v>
      </c>
      <c r="F46" s="43"/>
      <c r="G46" s="46" t="s">
        <v>33</v>
      </c>
      <c r="H46" s="48"/>
      <c r="I46" s="48"/>
    </row>
    <row r="47" spans="1:26" x14ac:dyDescent="0.25">
      <c r="A47" s="10"/>
      <c r="B47" s="56" t="s">
        <v>116</v>
      </c>
      <c r="C47" s="56"/>
      <c r="D47" s="58">
        <f>SUM(D40:D46)</f>
        <v>1153.1161368172222</v>
      </c>
      <c r="E47" s="58">
        <f>SUM(E40:E46)</f>
        <v>13837.393641806666</v>
      </c>
      <c r="F47" s="43"/>
      <c r="G47" s="56" t="s">
        <v>87</v>
      </c>
      <c r="H47" s="66"/>
      <c r="I47" s="58">
        <f>(D34-68000)/27.5</f>
        <v>11163.272727272728</v>
      </c>
    </row>
    <row r="48" spans="1:26" x14ac:dyDescent="0.25">
      <c r="A48" s="10"/>
      <c r="B48" s="10"/>
      <c r="C48" s="10"/>
      <c r="D48" s="17"/>
      <c r="E48" s="16"/>
      <c r="F48" s="43"/>
      <c r="G48" s="10"/>
      <c r="H48" s="10"/>
      <c r="I48" s="10"/>
    </row>
    <row r="49" spans="1:25" x14ac:dyDescent="0.25">
      <c r="A49" s="10"/>
      <c r="B49" s="44"/>
      <c r="C49" s="10"/>
      <c r="D49" s="55"/>
      <c r="E49" s="54"/>
      <c r="F49" s="43"/>
      <c r="G49" s="10"/>
      <c r="H49" s="10"/>
      <c r="I49" s="10"/>
    </row>
    <row r="50" spans="1:25" x14ac:dyDescent="0.25">
      <c r="A50" s="10"/>
      <c r="B50" s="18" t="s">
        <v>69</v>
      </c>
      <c r="C50" s="18"/>
      <c r="D50" s="17"/>
      <c r="E50" s="16"/>
      <c r="F50" s="10"/>
      <c r="G50" s="10"/>
      <c r="H50" s="10"/>
      <c r="I50" s="10"/>
    </row>
    <row r="51" spans="1:25" ht="67.5" customHeight="1" x14ac:dyDescent="0.25">
      <c r="A51" s="10"/>
      <c r="B51" s="111" t="s">
        <v>70</v>
      </c>
      <c r="C51" s="111"/>
      <c r="D51" s="111"/>
      <c r="E51" s="111"/>
      <c r="F51" s="111"/>
      <c r="G51" s="111"/>
      <c r="H51" s="111"/>
      <c r="I51" s="111"/>
    </row>
    <row r="52" spans="1:25" ht="18" x14ac:dyDescent="0.25">
      <c r="A52" s="10"/>
      <c r="B52" s="110" t="s">
        <v>71</v>
      </c>
      <c r="C52" s="110"/>
      <c r="D52" s="110"/>
      <c r="E52" s="110"/>
      <c r="F52" s="110"/>
      <c r="G52" s="110"/>
      <c r="H52" s="110"/>
      <c r="I52" s="110"/>
    </row>
    <row r="53" spans="1:25" x14ac:dyDescent="0.25">
      <c r="B53" s="10"/>
      <c r="C53" s="10"/>
      <c r="D53" s="17"/>
      <c r="E53" s="16"/>
      <c r="F53" s="43"/>
    </row>
    <row r="54" spans="1:25" ht="18" x14ac:dyDescent="0.25">
      <c r="B54" s="10"/>
      <c r="C54" s="10"/>
      <c r="D54" s="17"/>
      <c r="E54" s="16"/>
      <c r="F54" s="43"/>
      <c r="G54" s="75"/>
      <c r="H54" s="76"/>
      <c r="I54" s="76"/>
    </row>
    <row r="56" spans="1:25" x14ac:dyDescent="0.25">
      <c r="B56" s="10"/>
      <c r="C56" s="10"/>
      <c r="D56" s="17"/>
      <c r="E56" s="16"/>
      <c r="F56" s="43"/>
      <c r="G56" s="56"/>
      <c r="H56" s="68"/>
      <c r="I56" s="58"/>
    </row>
    <row r="59" spans="1:25" s="10" customFormat="1" ht="18" x14ac:dyDescent="0.25">
      <c r="B59" s="29"/>
      <c r="C59" s="29"/>
      <c r="D59" s="29"/>
      <c r="E59" s="29"/>
      <c r="F59" s="29"/>
      <c r="G59" s="29"/>
      <c r="H59" s="29"/>
      <c r="I59" s="29"/>
      <c r="L59" s="42"/>
      <c r="M59" s="42"/>
      <c r="N59" s="42"/>
      <c r="O59" s="42"/>
      <c r="P59" s="42"/>
      <c r="Q59" s="42"/>
      <c r="R59" s="42"/>
      <c r="S59" s="42"/>
      <c r="T59" s="42"/>
      <c r="U59" s="42"/>
      <c r="V59" s="42"/>
      <c r="W59" s="42"/>
      <c r="X59" s="42"/>
      <c r="Y59" s="42"/>
    </row>
    <row r="62" spans="1:25" x14ac:dyDescent="0.25">
      <c r="F62" s="10"/>
    </row>
    <row r="63" spans="1:25" x14ac:dyDescent="0.25">
      <c r="F63" s="10"/>
    </row>
    <row r="64" spans="1:25"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sheetData>
  <sheetProtection selectLockedCells="1"/>
  <mergeCells count="6">
    <mergeCell ref="B52:I52"/>
    <mergeCell ref="B51:I51"/>
    <mergeCell ref="B1:I1"/>
    <mergeCell ref="B2:I2"/>
    <mergeCell ref="B3:I3"/>
    <mergeCell ref="B4:I4"/>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CE52F9-849F-4877-862B-E89AD503665D}">
          <x14:formula1>
            <xm:f>DAta!$A$2:$A$23</xm:f>
          </x14:formula1>
          <xm:sqref>C35</xm:sqref>
        </x14:dataValidation>
        <x14:dataValidation type="list" allowBlank="1" showInputMessage="1" showErrorMessage="1" xr:uid="{2EBFBCE8-408A-48C7-BDFC-C7A94A1285AF}">
          <x14:formula1>
            <xm:f>DAta!$C$2:$C$11</xm:f>
          </x14:formula1>
          <xm:sqref>C45</xm:sqref>
        </x14:dataValidation>
        <x14:dataValidation type="list" allowBlank="1" showInputMessage="1" showErrorMessage="1" xr:uid="{BC5487F1-78A2-459D-971F-444D282CD1D6}">
          <x14:formula1>
            <xm:f>DAta!$E$2:$E$11</xm:f>
          </x14:formula1>
          <xm:sqref>C46</xm:sqref>
        </x14:dataValidation>
        <x14:dataValidation type="list" allowBlank="1" showInputMessage="1" showErrorMessage="1" xr:uid="{11CFB7E3-980A-48DA-8336-D10841795B4D}">
          <x14:formula1>
            <xm:f>DAta!$H$2:$H$31</xm:f>
          </x14:formula1>
          <xm:sqref>H32</xm:sqref>
        </x14:dataValidation>
        <x14:dataValidation type="list" allowBlank="1" showInputMessage="1" showErrorMessage="1" xr:uid="{9F8A9939-6349-4075-BCB8-776EC7955801}">
          <x14:formula1>
            <xm:f>DAta!$F$2:$F$12</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C46E9-F5B9-4682-AB87-CC6FBA180BA8}">
  <sheetPr codeName="Sheet1">
    <pageSetUpPr fitToPage="1"/>
  </sheetPr>
  <dimension ref="A1:AA68"/>
  <sheetViews>
    <sheetView topLeftCell="A18" zoomScale="85" zoomScaleNormal="85" workbookViewId="0">
      <selection activeCell="D29" sqref="D29"/>
    </sheetView>
  </sheetViews>
  <sheetFormatPr defaultRowHeight="15" x14ac:dyDescent="0.25"/>
  <cols>
    <col min="1" max="1" width="3.42578125" customWidth="1"/>
    <col min="2" max="2" width="45" customWidth="1"/>
    <col min="3" max="3" width="9" customWidth="1"/>
    <col min="4" max="4" width="12.7109375" style="8" customWidth="1"/>
    <col min="5" max="5" width="13.140625" style="9" customWidth="1"/>
    <col min="6" max="6" width="5" customWidth="1"/>
    <col min="7" max="7" width="46.710937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6.28515625" style="30" hidden="1" customWidth="1"/>
    <col min="17" max="17" width="19.285156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4" width="13.5703125" style="30" hidden="1" customWidth="1"/>
    <col min="25" max="25" width="12.42578125" style="30" hidden="1" customWidth="1"/>
    <col min="26" max="26" width="20.5703125" hidden="1" customWidth="1"/>
    <col min="27" max="27" width="13.42578125" bestFit="1" customWidth="1"/>
  </cols>
  <sheetData>
    <row r="1" spans="1:26" x14ac:dyDescent="0.25">
      <c r="A1" s="10"/>
      <c r="B1" s="112"/>
      <c r="C1" s="112"/>
      <c r="D1" s="112"/>
      <c r="E1" s="112"/>
      <c r="F1" s="112"/>
      <c r="G1" s="112"/>
      <c r="H1" s="112"/>
      <c r="I1" s="112"/>
    </row>
    <row r="2" spans="1:26" x14ac:dyDescent="0.25">
      <c r="A2" s="10"/>
      <c r="B2" s="112"/>
      <c r="C2" s="112"/>
      <c r="D2" s="112"/>
      <c r="E2" s="112"/>
      <c r="F2" s="112"/>
      <c r="G2" s="112"/>
      <c r="H2" s="112"/>
      <c r="I2" s="112"/>
    </row>
    <row r="3" spans="1:26" ht="23.25" customHeight="1" x14ac:dyDescent="0.25">
      <c r="A3" s="10"/>
      <c r="B3" s="112"/>
      <c r="C3" s="112"/>
      <c r="D3" s="112"/>
      <c r="E3" s="112"/>
      <c r="F3" s="112"/>
      <c r="G3" s="112"/>
      <c r="H3" s="112"/>
      <c r="I3" s="112"/>
    </row>
    <row r="4" spans="1:26" ht="22.5" x14ac:dyDescent="0.3">
      <c r="A4" s="10"/>
      <c r="B4" s="113" t="s">
        <v>140</v>
      </c>
      <c r="C4" s="113"/>
      <c r="D4" s="113"/>
      <c r="E4" s="113"/>
      <c r="F4" s="113"/>
      <c r="G4" s="113"/>
      <c r="H4" s="113"/>
      <c r="I4" s="113"/>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121</v>
      </c>
      <c r="Z5" s="33" t="s">
        <v>122</v>
      </c>
    </row>
    <row r="6" spans="1:26" ht="14.25" customHeight="1" x14ac:dyDescent="0.25">
      <c r="A6" s="10"/>
      <c r="B6" s="43"/>
      <c r="C6" s="43"/>
      <c r="D6" s="44"/>
      <c r="E6" s="45"/>
      <c r="F6" s="43"/>
      <c r="G6" s="43"/>
      <c r="H6" s="43"/>
      <c r="I6" s="43"/>
      <c r="M6" s="30">
        <v>0</v>
      </c>
      <c r="X6" s="34">
        <f>-D38</f>
        <v>-123997.99862734665</v>
      </c>
      <c r="Z6" s="70">
        <f>SUM(X6:Y6)</f>
        <v>-123997.99862734665</v>
      </c>
    </row>
    <row r="7" spans="1:26" ht="14.25" customHeight="1" x14ac:dyDescent="0.25">
      <c r="A7" s="10"/>
      <c r="B7" s="43"/>
      <c r="C7" s="43"/>
      <c r="D7" s="44"/>
      <c r="E7" s="45"/>
      <c r="F7" s="43"/>
      <c r="G7" s="43"/>
      <c r="H7" s="43"/>
      <c r="I7" s="43"/>
      <c r="M7" s="30">
        <v>1</v>
      </c>
      <c r="N7" s="34">
        <f t="shared" ref="N7:N36" si="0">W7+T7+U7-V7</f>
        <v>-4641.859195071469</v>
      </c>
      <c r="O7" s="35">
        <f t="shared" ref="O7:O36" si="1">N7/P7/M7</f>
        <v>-3.7434952551304718E-2</v>
      </c>
      <c r="P7" s="36">
        <f>'With Loan'!$D$38</f>
        <v>123997.99862734665</v>
      </c>
      <c r="Q7" s="37">
        <f>'With Loan'!$H$31</f>
        <v>3.5000000000000003E-2</v>
      </c>
      <c r="R7" s="38">
        <f>'With Loan'!$D$24</f>
        <v>374990</v>
      </c>
      <c r="S7" s="38">
        <f>'With Loan'!$D$40</f>
        <v>262493</v>
      </c>
      <c r="T7" s="39">
        <f t="shared" ref="T7:T36" si="2">$R$7*(1+Q7)^M7-$R$7</f>
        <v>13124.649999999965</v>
      </c>
      <c r="U7" s="39">
        <f>S7-_xlfn.XLOOKUP($M7*12,'30% Down Amortization'!$A$4:$A$363,'30% Down Amortization'!$E$4:$E$363,0,0,1)</f>
        <v>4826.6620641603367</v>
      </c>
      <c r="V7" s="39">
        <f>(R7+T7)*'With Loan'!$H$36</f>
        <v>27168.0255</v>
      </c>
      <c r="W7" s="36">
        <f>'With Loan'!$I$27*'With Loan'!$M7</f>
        <v>4574.8542407682289</v>
      </c>
      <c r="X7" s="34">
        <f>$I$27</f>
        <v>4574.8542407682289</v>
      </c>
      <c r="Y7" s="80">
        <f>IF($H$32=$M7,R7+T7-V7-_xlfn.XLOOKUP(M7*12,'30% Down Amortization'!$A$4:$A$363,'30% Down Amortization'!$E$4:$E$363,0,0,1),0)</f>
        <v>0</v>
      </c>
      <c r="Z7" s="70">
        <f t="shared" ref="Z7:Z36" si="3">IF($H$32&gt;=M7,SUM(X7:Y7),0)</f>
        <v>4574.8542407682289</v>
      </c>
    </row>
    <row r="8" spans="1:26" ht="14.25" customHeight="1" x14ac:dyDescent="0.25">
      <c r="A8" s="10"/>
      <c r="B8" s="43"/>
      <c r="C8" s="43"/>
      <c r="D8" s="44"/>
      <c r="E8" s="45"/>
      <c r="F8" s="43"/>
      <c r="G8" s="43"/>
      <c r="H8" s="43"/>
      <c r="I8" s="43"/>
      <c r="M8" s="30">
        <v>2</v>
      </c>
      <c r="N8" s="34">
        <f t="shared" si="0"/>
        <v>17576.932363859712</v>
      </c>
      <c r="O8" s="35">
        <f t="shared" si="1"/>
        <v>7.0875871217421713E-2</v>
      </c>
      <c r="P8" s="36">
        <f>'With Loan'!$D$38</f>
        <v>123997.99862734665</v>
      </c>
      <c r="Q8" s="37">
        <f>'With Loan'!$H$31</f>
        <v>3.5000000000000003E-2</v>
      </c>
      <c r="R8" s="38">
        <f>'With Loan'!$D$24</f>
        <v>374990</v>
      </c>
      <c r="S8" s="38">
        <f>'With Loan'!$D$40</f>
        <v>262493</v>
      </c>
      <c r="T8" s="39">
        <f t="shared" si="2"/>
        <v>26708.662749999959</v>
      </c>
      <c r="U8" s="39">
        <f>S8-_xlfn.XLOOKUP($M8*12,'30% Down Amortization'!$A$4:$A$363,'30% Down Amortization'!$E$4:$E$363,0,0,1)</f>
        <v>9837.4675248232961</v>
      </c>
      <c r="V8" s="39">
        <f>(R8+T8)*'With Loan'!$H$36</f>
        <v>28118.906392500001</v>
      </c>
      <c r="W8" s="36">
        <f>'With Loan'!$I$27*'With Loan'!$M8</f>
        <v>9149.7084815364578</v>
      </c>
      <c r="X8" s="34">
        <f t="shared" ref="X8:X36" si="4">$I$27</f>
        <v>4574.8542407682289</v>
      </c>
      <c r="Y8" s="80">
        <f>IF($H$32=$M8,R8+T8-V8-_xlfn.XLOOKUP(M8*12,'30% Down Amortization'!$A$4:$A$363,'30% Down Amortization'!$E$4:$E$363,0,0,1),0)</f>
        <v>0</v>
      </c>
      <c r="Z8" s="70">
        <f t="shared" si="3"/>
        <v>4574.8542407682289</v>
      </c>
    </row>
    <row r="9" spans="1:26" ht="14.25" customHeight="1" x14ac:dyDescent="0.25">
      <c r="A9" s="10"/>
      <c r="B9" s="43"/>
      <c r="C9" s="43"/>
      <c r="D9" s="44"/>
      <c r="E9" s="45"/>
      <c r="F9" s="43"/>
      <c r="G9" s="43"/>
      <c r="H9" s="43"/>
      <c r="I9" s="43"/>
      <c r="M9" s="30">
        <v>3</v>
      </c>
      <c r="N9" s="34">
        <f t="shared" si="0"/>
        <v>40429.052242899255</v>
      </c>
      <c r="O9" s="35">
        <f t="shared" si="1"/>
        <v>0.10868200210338715</v>
      </c>
      <c r="P9" s="36">
        <f>'With Loan'!$D$38</f>
        <v>123997.99862734665</v>
      </c>
      <c r="Q9" s="37">
        <f>'With Loan'!$H$31</f>
        <v>3.5000000000000003E-2</v>
      </c>
      <c r="R9" s="38">
        <f>'With Loan'!$D$24</f>
        <v>374990</v>
      </c>
      <c r="S9" s="38">
        <f>'With Loan'!$D$40</f>
        <v>262493</v>
      </c>
      <c r="T9" s="39">
        <f t="shared" si="2"/>
        <v>40768.11594624992</v>
      </c>
      <c r="U9" s="39">
        <f>S9-_xlfn.XLOOKUP($M9*12,'30% Down Amortization'!$A$4:$A$363,'30% Down Amortization'!$E$4:$E$363,0,0,1)</f>
        <v>15039.441690582142</v>
      </c>
      <c r="V9" s="39">
        <f>(R9+T9)*'With Loan'!$H$36</f>
        <v>29103.068116237497</v>
      </c>
      <c r="W9" s="36">
        <f>'With Loan'!$I$27*'With Loan'!$M9</f>
        <v>13724.562722304687</v>
      </c>
      <c r="X9" s="34">
        <f t="shared" si="4"/>
        <v>4574.8542407682289</v>
      </c>
      <c r="Y9" s="80">
        <f>IF($H$32=$M9,R9+T9-V9-_xlfn.XLOOKUP(M9*12,'30% Down Amortization'!$A$4:$A$363,'30% Down Amortization'!$E$4:$E$363,0,0,1),0)</f>
        <v>0</v>
      </c>
      <c r="Z9" s="70">
        <f t="shared" si="3"/>
        <v>4574.8542407682289</v>
      </c>
    </row>
    <row r="10" spans="1:26" ht="14.25" customHeight="1" x14ac:dyDescent="0.25">
      <c r="A10" s="10"/>
      <c r="B10" s="43"/>
      <c r="C10" s="43"/>
      <c r="D10" s="44"/>
      <c r="E10" s="45"/>
      <c r="F10" s="43"/>
      <c r="G10" s="43"/>
      <c r="H10" s="43"/>
      <c r="I10" s="43"/>
      <c r="M10" s="30">
        <v>4</v>
      </c>
      <c r="N10" s="34">
        <f t="shared" si="0"/>
        <v>63937.269361769126</v>
      </c>
      <c r="O10" s="35">
        <f t="shared" si="1"/>
        <v>0.12890786558967157</v>
      </c>
      <c r="P10" s="36">
        <f>'With Loan'!$D$38</f>
        <v>123997.99862734665</v>
      </c>
      <c r="Q10" s="37">
        <f>'With Loan'!$H$31</f>
        <v>3.5000000000000003E-2</v>
      </c>
      <c r="R10" s="38">
        <f>'With Loan'!$D$24</f>
        <v>374990</v>
      </c>
      <c r="S10" s="38">
        <f>'With Loan'!$D$40</f>
        <v>262493</v>
      </c>
      <c r="T10" s="39">
        <f t="shared" si="2"/>
        <v>55319.650004368625</v>
      </c>
      <c r="U10" s="39">
        <f>S10-_xlfn.XLOOKUP($M10*12,'30% Down Amortization'!$A$4:$A$363,'30% Down Amortization'!$E$4:$E$363,0,0,1)</f>
        <v>20439.877894633391</v>
      </c>
      <c r="V10" s="39">
        <f>(R10+T10)*'With Loan'!$H$36</f>
        <v>30121.675500305806</v>
      </c>
      <c r="W10" s="36">
        <f>'With Loan'!$I$27*'With Loan'!$M10</f>
        <v>18299.416963072916</v>
      </c>
      <c r="X10" s="34">
        <f t="shared" si="4"/>
        <v>4574.8542407682289</v>
      </c>
      <c r="Y10" s="80">
        <f>IF($H$32=$M10,R10+T10-V10-_xlfn.XLOOKUP(M10*12,'30% Down Amortization'!$A$4:$A$363,'30% Down Amortization'!$E$4:$E$363,0,0,1),0)</f>
        <v>0</v>
      </c>
      <c r="Z10" s="70">
        <f t="shared" si="3"/>
        <v>4574.8542407682289</v>
      </c>
    </row>
    <row r="11" spans="1:26" ht="14.25" customHeight="1" x14ac:dyDescent="0.25">
      <c r="A11" s="10"/>
      <c r="B11" s="43"/>
      <c r="C11" s="43"/>
      <c r="D11" s="44"/>
      <c r="E11" s="45"/>
      <c r="F11" s="43"/>
      <c r="G11" s="43"/>
      <c r="H11" s="43"/>
      <c r="I11" s="43"/>
      <c r="M11" s="30">
        <v>5</v>
      </c>
      <c r="N11" s="34">
        <f t="shared" si="0"/>
        <v>88125.172535808335</v>
      </c>
      <c r="O11" s="35">
        <f t="shared" si="1"/>
        <v>0.14213966920652074</v>
      </c>
      <c r="P11" s="36">
        <f>'With Loan'!$D$38</f>
        <v>123997.99862734665</v>
      </c>
      <c r="Q11" s="37">
        <f>'With Loan'!$H$31</f>
        <v>3.5000000000000003E-2</v>
      </c>
      <c r="R11" s="38">
        <f>'With Loan'!$D$24</f>
        <v>374990</v>
      </c>
      <c r="S11" s="38">
        <f>'With Loan'!$D$40</f>
        <v>262493</v>
      </c>
      <c r="T11" s="39">
        <f t="shared" si="2"/>
        <v>70380.487754521484</v>
      </c>
      <c r="U11" s="39">
        <f>S11-_xlfn.XLOOKUP($M11*12,'30% Down Amortization'!$A$4:$A$363,'30% Down Amortization'!$E$4:$E$363,0,0,1)</f>
        <v>26046.347720262216</v>
      </c>
      <c r="V11" s="39">
        <f>(R11+T11)*'With Loan'!$H$36</f>
        <v>31175.934142816506</v>
      </c>
      <c r="W11" s="36">
        <f>'With Loan'!$I$27*'With Loan'!$M11</f>
        <v>22874.271203841145</v>
      </c>
      <c r="X11" s="34">
        <f t="shared" si="4"/>
        <v>4574.8542407682289</v>
      </c>
      <c r="Y11" s="80">
        <f>IF($H$32=$M11,R11+T11-V11-_xlfn.XLOOKUP(M11*12,'30% Down Amortization'!$A$4:$A$363,'30% Down Amortization'!$E$4:$E$363,0,0,1),0)</f>
        <v>0</v>
      </c>
      <c r="Z11" s="70">
        <f t="shared" si="3"/>
        <v>4574.8542407682289</v>
      </c>
    </row>
    <row r="12" spans="1:26" ht="14.25" customHeight="1" x14ac:dyDescent="0.25">
      <c r="A12" s="10"/>
      <c r="B12" s="43"/>
      <c r="C12" s="43"/>
      <c r="D12" s="44"/>
      <c r="E12" s="45"/>
      <c r="F12" s="43"/>
      <c r="G12" s="43"/>
      <c r="H12" s="43"/>
      <c r="I12" s="43"/>
      <c r="M12" s="30">
        <v>6</v>
      </c>
      <c r="N12" s="34">
        <f t="shared" si="0"/>
        <v>113017.20004916693</v>
      </c>
      <c r="O12" s="35">
        <f t="shared" si="1"/>
        <v>0.15190729057493299</v>
      </c>
      <c r="P12" s="36">
        <f>'With Loan'!$D$38</f>
        <v>123997.99862734665</v>
      </c>
      <c r="Q12" s="37">
        <f>'With Loan'!$H$31</f>
        <v>3.5000000000000003E-2</v>
      </c>
      <c r="R12" s="38">
        <f>'With Loan'!$D$24</f>
        <v>374990</v>
      </c>
      <c r="S12" s="38">
        <f>'With Loan'!$D$40</f>
        <v>262493</v>
      </c>
      <c r="T12" s="39">
        <f t="shared" si="2"/>
        <v>85968.454825929774</v>
      </c>
      <c r="U12" s="39">
        <f>S12-_xlfn.XLOOKUP($M12*12,'30% Down Amortization'!$A$4:$A$363,'30% Down Amortization'!$E$4:$E$363,0,0,1)</f>
        <v>31866.711616442859</v>
      </c>
      <c r="V12" s="39">
        <f>(R12+T12)*'With Loan'!$H$36</f>
        <v>32267.091837815085</v>
      </c>
      <c r="W12" s="36">
        <f>'With Loan'!$I$27*'With Loan'!$M12</f>
        <v>27449.125444609374</v>
      </c>
      <c r="X12" s="34">
        <f t="shared" si="4"/>
        <v>4574.8542407682289</v>
      </c>
      <c r="Y12" s="80">
        <f>IF($H$32=$M12,R12+T12-V12-_xlfn.XLOOKUP(M12*12,'30% Down Amortization'!$A$4:$A$363,'30% Down Amortization'!$E$4:$E$363,0,0,1),0)</f>
        <v>0</v>
      </c>
      <c r="Z12" s="70">
        <f t="shared" si="3"/>
        <v>4574.8542407682289</v>
      </c>
    </row>
    <row r="13" spans="1:26" ht="14.25" customHeight="1" x14ac:dyDescent="0.25">
      <c r="A13" s="10"/>
      <c r="B13" s="43"/>
      <c r="C13" s="43"/>
      <c r="D13" s="44"/>
      <c r="E13" s="45"/>
      <c r="F13" s="43"/>
      <c r="G13" s="43"/>
      <c r="H13" s="43"/>
      <c r="I13" s="43"/>
      <c r="M13" s="30">
        <v>7</v>
      </c>
      <c r="N13" s="34">
        <f t="shared" si="0"/>
        <v>138638.67029651417</v>
      </c>
      <c r="O13" s="35">
        <f t="shared" si="1"/>
        <v>0.15972454835819844</v>
      </c>
      <c r="P13" s="36">
        <f>'With Loan'!$D$38</f>
        <v>123997.99862734665</v>
      </c>
      <c r="Q13" s="37">
        <f>'With Loan'!$H$31</f>
        <v>3.5000000000000003E-2</v>
      </c>
      <c r="R13" s="38">
        <f>'With Loan'!$D$24</f>
        <v>374990</v>
      </c>
      <c r="S13" s="38">
        <f>'With Loan'!$D$40</f>
        <v>262493</v>
      </c>
      <c r="T13" s="39">
        <f t="shared" si="2"/>
        <v>102102.00074483722</v>
      </c>
      <c r="U13" s="39">
        <f>S13-_xlfn.XLOOKUP($M13*12,'30% Down Amortization'!$A$4:$A$363,'30% Down Amortization'!$E$4:$E$363,0,0,1)</f>
        <v>37909.129918437975</v>
      </c>
      <c r="V13" s="39">
        <f>(R13+T13)*'With Loan'!$H$36</f>
        <v>33396.440052138605</v>
      </c>
      <c r="W13" s="36">
        <f>'With Loan'!$I$27*'With Loan'!$M13</f>
        <v>32023.979685377602</v>
      </c>
      <c r="X13" s="34">
        <f t="shared" si="4"/>
        <v>4574.8542407682289</v>
      </c>
      <c r="Y13" s="80">
        <f>IF($H$32=$M13,R13+T13-V13-_xlfn.XLOOKUP(M13*12,'30% Down Amortization'!$A$4:$A$363,'30% Down Amortization'!$E$4:$E$363,0,0,1),0)</f>
        <v>0</v>
      </c>
      <c r="Z13" s="70">
        <f t="shared" si="3"/>
        <v>4574.8542407682289</v>
      </c>
    </row>
    <row r="14" spans="1:26" ht="14.25" customHeight="1" x14ac:dyDescent="0.25">
      <c r="A14" s="10"/>
      <c r="B14" s="43"/>
      <c r="C14" s="43"/>
      <c r="D14" s="44"/>
      <c r="E14" s="45"/>
      <c r="F14" s="43"/>
      <c r="G14" s="43"/>
      <c r="H14" s="43"/>
      <c r="I14" s="43"/>
      <c r="M14" s="30">
        <v>8</v>
      </c>
      <c r="N14" s="34">
        <f t="shared" si="0"/>
        <v>165015.81353193702</v>
      </c>
      <c r="O14" s="35">
        <f t="shared" si="1"/>
        <v>0.16634927111592132</v>
      </c>
      <c r="P14" s="36">
        <f>'With Loan'!$D$38</f>
        <v>123997.99862734665</v>
      </c>
      <c r="Q14" s="37">
        <f>'With Loan'!$H$31</f>
        <v>3.5000000000000003E-2</v>
      </c>
      <c r="R14" s="38">
        <f>'With Loan'!$D$24</f>
        <v>374990</v>
      </c>
      <c r="S14" s="38">
        <f>'With Loan'!$D$40</f>
        <v>262493</v>
      </c>
      <c r="T14" s="39">
        <f t="shared" si="2"/>
        <v>118800.22077090648</v>
      </c>
      <c r="U14" s="39">
        <f>S14-_xlfn.XLOOKUP($M14*12,'30% Down Amortization'!$A$4:$A$363,'30% Down Amortization'!$E$4:$E$363,0,0,1)</f>
        <v>44182.074288848176</v>
      </c>
      <c r="V14" s="39">
        <f>(R14+T14)*'With Loan'!$H$36</f>
        <v>34565.315453963456</v>
      </c>
      <c r="W14" s="36">
        <f>'With Loan'!$I$27*'With Loan'!$M14</f>
        <v>36598.833926145831</v>
      </c>
      <c r="X14" s="34">
        <f t="shared" si="4"/>
        <v>4574.8542407682289</v>
      </c>
      <c r="Y14" s="80">
        <f>IF($H$32=$M14,R14+T14-V14-_xlfn.XLOOKUP(M14*12,'30% Down Amortization'!$A$4:$A$363,'30% Down Amortization'!$E$4:$E$363,0,0,1),0)</f>
        <v>0</v>
      </c>
      <c r="Z14" s="70">
        <f t="shared" si="3"/>
        <v>4574.8542407682289</v>
      </c>
    </row>
    <row r="15" spans="1:26" ht="14.25" customHeight="1" x14ac:dyDescent="0.25">
      <c r="A15" s="10"/>
      <c r="B15" s="43"/>
      <c r="C15" s="43"/>
      <c r="D15" s="44"/>
      <c r="E15" s="45"/>
      <c r="F15" s="43"/>
      <c r="G15" s="43"/>
      <c r="H15" s="43"/>
      <c r="I15" s="43"/>
      <c r="M15" s="30">
        <v>9</v>
      </c>
      <c r="N15" s="34">
        <f t="shared" si="0"/>
        <v>192175.80476510257</v>
      </c>
      <c r="O15" s="35">
        <f t="shared" si="1"/>
        <v>0.17220332128339144</v>
      </c>
      <c r="P15" s="36">
        <f>'With Loan'!$D$38</f>
        <v>123997.99862734665</v>
      </c>
      <c r="Q15" s="37">
        <f>'With Loan'!$H$31</f>
        <v>3.5000000000000003E-2</v>
      </c>
      <c r="R15" s="38">
        <f>'With Loan'!$D$24</f>
        <v>374990</v>
      </c>
      <c r="S15" s="38">
        <f>'With Loan'!$D$40</f>
        <v>262493</v>
      </c>
      <c r="T15" s="39">
        <f t="shared" si="2"/>
        <v>136082.8784978881</v>
      </c>
      <c r="U15" s="39">
        <f>S15-_xlfn.XLOOKUP($M15*12,'30% Down Amortization'!$A$4:$A$363,'30% Down Amortization'!$E$4:$E$363,0,0,1)</f>
        <v>50694.339595152589</v>
      </c>
      <c r="V15" s="39">
        <f>(R15+T15)*'With Loan'!$H$36</f>
        <v>35775.10149485217</v>
      </c>
      <c r="W15" s="36">
        <f>'With Loan'!$I$27*'With Loan'!$M15</f>
        <v>41173.688166914057</v>
      </c>
      <c r="X15" s="34">
        <f t="shared" si="4"/>
        <v>4574.8542407682289</v>
      </c>
      <c r="Y15" s="80">
        <f>IF($H$32=$M15,R15+T15-V15-_xlfn.XLOOKUP(M15*12,'30% Down Amortization'!$A$4:$A$363,'30% Down Amortization'!$E$4:$E$363,0,0,1),0)</f>
        <v>0</v>
      </c>
      <c r="Z15" s="70">
        <f t="shared" si="3"/>
        <v>4574.8542407682289</v>
      </c>
    </row>
    <row r="16" spans="1:26" ht="14.25" customHeight="1" x14ac:dyDescent="0.25">
      <c r="A16" s="10"/>
      <c r="B16" s="43"/>
      <c r="C16" s="43"/>
      <c r="D16" s="44"/>
      <c r="E16" s="45"/>
      <c r="F16" s="43"/>
      <c r="G16" s="43"/>
      <c r="H16" s="43"/>
      <c r="I16" s="43"/>
      <c r="M16" s="30">
        <v>10</v>
      </c>
      <c r="N16" s="34">
        <f t="shared" si="0"/>
        <v>220146.79784621694</v>
      </c>
      <c r="O16" s="35">
        <f t="shared" si="1"/>
        <v>0.17754060572205521</v>
      </c>
      <c r="P16" s="36">
        <f>'With Loan'!$D$38</f>
        <v>123997.99862734665</v>
      </c>
      <c r="Q16" s="37">
        <f>'With Loan'!$H$31</f>
        <v>3.5000000000000003E-2</v>
      </c>
      <c r="R16" s="38">
        <f>'With Loan'!$D$24</f>
        <v>374990</v>
      </c>
      <c r="S16" s="38">
        <f>'With Loan'!$D$40</f>
        <v>262493</v>
      </c>
      <c r="T16" s="39">
        <f t="shared" si="2"/>
        <v>153970.42924531421</v>
      </c>
      <c r="U16" s="39">
        <f>S16-_xlfn.XLOOKUP($M16*12,'30% Down Amortization'!$A$4:$A$363,'30% Down Amortization'!$E$4:$E$363,0,0,1)</f>
        <v>57455.056240392441</v>
      </c>
      <c r="V16" s="39">
        <f>(R16+T16)*'With Loan'!$H$36</f>
        <v>37027.230047172001</v>
      </c>
      <c r="W16" s="36">
        <f>'With Loan'!$I$27*'With Loan'!$M16</f>
        <v>45748.542407682289</v>
      </c>
      <c r="X16" s="34">
        <f t="shared" si="4"/>
        <v>4574.8542407682289</v>
      </c>
      <c r="Y16" s="80">
        <f>IF($H$32=$M16,R16+T16-V16-_xlfn.XLOOKUP(M16*12,'30% Down Amortization'!$A$4:$A$363,'30% Down Amortization'!$E$4:$E$363,0,0,1),0)</f>
        <v>0</v>
      </c>
      <c r="Z16" s="70">
        <f t="shared" si="3"/>
        <v>4574.8542407682289</v>
      </c>
    </row>
    <row r="17" spans="1:27" ht="14.25" customHeight="1" x14ac:dyDescent="0.25">
      <c r="A17" s="10"/>
      <c r="B17" s="43"/>
      <c r="C17" s="43"/>
      <c r="D17" s="44"/>
      <c r="E17" s="45"/>
      <c r="F17" s="43"/>
      <c r="G17" s="43"/>
      <c r="H17" s="43"/>
      <c r="I17" s="43"/>
      <c r="M17" s="30">
        <v>11</v>
      </c>
      <c r="N17" s="34">
        <f t="shared" si="0"/>
        <v>248957.96078281425</v>
      </c>
      <c r="O17" s="35">
        <f t="shared" si="1"/>
        <v>0.18252344505466353</v>
      </c>
      <c r="P17" s="36">
        <f>'With Loan'!$D$38</f>
        <v>123997.99862734665</v>
      </c>
      <c r="Q17" s="37">
        <f>'With Loan'!$H$31</f>
        <v>3.5000000000000003E-2</v>
      </c>
      <c r="R17" s="38">
        <f>'With Loan'!$D$24</f>
        <v>374990</v>
      </c>
      <c r="S17" s="38">
        <f>'With Loan'!$D$40</f>
        <v>262493</v>
      </c>
      <c r="T17" s="39">
        <f t="shared" si="2"/>
        <v>172484.04426890018</v>
      </c>
      <c r="U17" s="39">
        <f>S17-_xlfn.XLOOKUP($M17*12,'30% Down Amortization'!$A$4:$A$363,'30% Down Amortization'!$E$4:$E$363,0,0,1)</f>
        <v>64473.702964286553</v>
      </c>
      <c r="V17" s="39">
        <f>(R17+T17)*'With Loan'!$H$36</f>
        <v>38323.183098823014</v>
      </c>
      <c r="W17" s="36">
        <f>'With Loan'!$I$27*'With Loan'!$M17</f>
        <v>50323.396648450522</v>
      </c>
      <c r="X17" s="34">
        <f t="shared" si="4"/>
        <v>4574.8542407682289</v>
      </c>
      <c r="Y17" s="80">
        <f>IF($H$32=$M17,R17+T17-V17-_xlfn.XLOOKUP(M17*12,'30% Down Amortization'!$A$4:$A$363,'30% Down Amortization'!$E$4:$E$363,0,0,1),0)</f>
        <v>0</v>
      </c>
      <c r="Z17" s="70">
        <f t="shared" si="3"/>
        <v>4574.8542407682289</v>
      </c>
    </row>
    <row r="18" spans="1:27" ht="14.25" customHeight="1" x14ac:dyDescent="0.25">
      <c r="A18" s="10"/>
      <c r="B18" s="43"/>
      <c r="C18" s="43"/>
      <c r="D18" s="44"/>
      <c r="E18" s="45"/>
      <c r="F18" s="43"/>
      <c r="G18" s="43"/>
      <c r="H18" s="43"/>
      <c r="I18" s="43"/>
      <c r="M18" s="30">
        <v>12</v>
      </c>
      <c r="N18" s="34">
        <f t="shared" si="0"/>
        <v>278639.51233297458</v>
      </c>
      <c r="O18" s="35">
        <f t="shared" si="1"/>
        <v>0.18726075919067506</v>
      </c>
      <c r="P18" s="36">
        <f>'With Loan'!$D$38</f>
        <v>123997.99862734665</v>
      </c>
      <c r="Q18" s="37">
        <f>'With Loan'!$H$31</f>
        <v>3.5000000000000003E-2</v>
      </c>
      <c r="R18" s="38">
        <f>'With Loan'!$D$24</f>
        <v>374990</v>
      </c>
      <c r="S18" s="38">
        <f>'With Loan'!$D$40</f>
        <v>262493</v>
      </c>
      <c r="T18" s="39">
        <f t="shared" si="2"/>
        <v>191645.6358183116</v>
      </c>
      <c r="U18" s="39">
        <f>S18-_xlfn.XLOOKUP($M18*12,'30% Down Amortization'!$A$4:$A$363,'30% Down Amortization'!$E$4:$E$363,0,0,1)</f>
        <v>71760.120132726064</v>
      </c>
      <c r="V18" s="39">
        <f>(R18+T18)*'With Loan'!$H$36</f>
        <v>39664.494507281815</v>
      </c>
      <c r="W18" s="36">
        <f>'With Loan'!$I$27*'With Loan'!$M18</f>
        <v>54898.250889218747</v>
      </c>
      <c r="X18" s="34">
        <f t="shared" si="4"/>
        <v>4574.8542407682289</v>
      </c>
      <c r="Y18" s="80">
        <f>IF($H$32=$M18,R18+T18-V18-_xlfn.XLOOKUP(M18*12,'30% Down Amortization'!$A$4:$A$363,'30% Down Amortization'!$E$4:$E$363,0,0,1),0)</f>
        <v>0</v>
      </c>
      <c r="Z18" s="70">
        <f t="shared" si="3"/>
        <v>4574.8542407682289</v>
      </c>
    </row>
    <row r="19" spans="1:27" ht="14.25" customHeight="1" x14ac:dyDescent="0.25">
      <c r="A19" s="10"/>
      <c r="B19" s="43"/>
      <c r="C19" s="43"/>
      <c r="D19" s="44"/>
      <c r="E19" s="45"/>
      <c r="F19" s="43"/>
      <c r="G19" s="43"/>
      <c r="H19" s="43"/>
      <c r="I19" s="43"/>
      <c r="M19" s="30">
        <v>13</v>
      </c>
      <c r="N19" s="34">
        <f t="shared" si="0"/>
        <v>309222.75992118259</v>
      </c>
      <c r="O19" s="35">
        <f t="shared" si="1"/>
        <v>0.1918286295835214</v>
      </c>
      <c r="P19" s="36">
        <f>'With Loan'!$D$38</f>
        <v>123997.99862734665</v>
      </c>
      <c r="Q19" s="37">
        <f>'With Loan'!$H$31</f>
        <v>3.5000000000000003E-2</v>
      </c>
      <c r="R19" s="38">
        <f>'With Loan'!$D$24</f>
        <v>374990</v>
      </c>
      <c r="S19" s="38">
        <f>'With Loan'!$D$40</f>
        <v>262493</v>
      </c>
      <c r="T19" s="39">
        <f t="shared" si="2"/>
        <v>211477.88307195238</v>
      </c>
      <c r="U19" s="39">
        <f>S19-_xlfn.XLOOKUP($M19*12,'30% Down Amortization'!$A$4:$A$363,'30% Down Amortization'!$E$4:$E$363,0,0,1)</f>
        <v>79324.523534279899</v>
      </c>
      <c r="V19" s="39">
        <f>(R19+T19)*'With Loan'!$H$36</f>
        <v>41052.751815036674</v>
      </c>
      <c r="W19" s="36">
        <f>'With Loan'!$I$27*'With Loan'!$M19</f>
        <v>59473.105129986972</v>
      </c>
      <c r="X19" s="34">
        <f t="shared" si="4"/>
        <v>4574.8542407682289</v>
      </c>
      <c r="Y19" s="80">
        <f>IF($H$32=$M19,R19+T19-V19-_xlfn.XLOOKUP(M19*12,'30% Down Amortization'!$A$4:$A$363,'30% Down Amortization'!$E$4:$E$363,0,0,1),0)</f>
        <v>0</v>
      </c>
      <c r="Z19" s="70">
        <f t="shared" si="3"/>
        <v>4574.8542407682289</v>
      </c>
    </row>
    <row r="20" spans="1:27" ht="14.25" customHeight="1" x14ac:dyDescent="0.25">
      <c r="A20" s="10"/>
      <c r="B20" s="43"/>
      <c r="C20" s="43"/>
      <c r="D20" s="44"/>
      <c r="E20" s="45"/>
      <c r="F20" s="43"/>
      <c r="G20" s="43"/>
      <c r="H20" s="43"/>
      <c r="I20" s="43"/>
      <c r="M20" s="30">
        <v>14</v>
      </c>
      <c r="N20" s="34">
        <f t="shared" si="0"/>
        <v>340740.13892471866</v>
      </c>
      <c r="O20" s="35">
        <f t="shared" si="1"/>
        <v>0.19628204988139189</v>
      </c>
      <c r="P20" s="36">
        <f>'With Loan'!$D$38</f>
        <v>123997.99862734665</v>
      </c>
      <c r="Q20" s="37">
        <f>'With Loan'!$H$31</f>
        <v>3.5000000000000003E-2</v>
      </c>
      <c r="R20" s="38">
        <f>'With Loan'!$D$24</f>
        <v>374990</v>
      </c>
      <c r="S20" s="38">
        <f>'With Loan'!$D$40</f>
        <v>262493</v>
      </c>
      <c r="T20" s="39">
        <f t="shared" si="2"/>
        <v>232004.25897947082</v>
      </c>
      <c r="U20" s="39">
        <f>S20-_xlfn.XLOOKUP($M20*12,'30% Down Amortization'!$A$4:$A$363,'30% Down Amortization'!$E$4:$E$363,0,0,1)</f>
        <v>87177.518703055597</v>
      </c>
      <c r="V20" s="39">
        <f>(R20+T20)*'With Loan'!$H$36</f>
        <v>42489.59812856296</v>
      </c>
      <c r="W20" s="36">
        <f>'With Loan'!$I$27*'With Loan'!$M20</f>
        <v>64047.959370755205</v>
      </c>
      <c r="X20" s="34">
        <f t="shared" si="4"/>
        <v>4574.8542407682289</v>
      </c>
      <c r="Y20" s="80">
        <f>IF($H$32=$M20,R20+T20-V20-_xlfn.XLOOKUP(M20*12,'30% Down Amortization'!$A$4:$A$363,'30% Down Amortization'!$E$4:$E$363,0,0,1),0)</f>
        <v>0</v>
      </c>
      <c r="Z20" s="70">
        <f t="shared" si="3"/>
        <v>4574.8542407682289</v>
      </c>
    </row>
    <row r="21" spans="1:27" ht="14.25" customHeight="1" x14ac:dyDescent="0.25">
      <c r="A21" s="10"/>
      <c r="B21" s="43"/>
      <c r="C21" s="43"/>
      <c r="D21" s="44"/>
      <c r="E21" s="45"/>
      <c r="F21" s="43"/>
      <c r="G21" s="43"/>
      <c r="H21" s="43"/>
      <c r="I21" s="43"/>
      <c r="M21" s="40">
        <v>15</v>
      </c>
      <c r="N21" s="34">
        <f t="shared" si="0"/>
        <v>373225.2533802081</v>
      </c>
      <c r="O21" s="35">
        <f t="shared" si="1"/>
        <v>0.20066197708124225</v>
      </c>
      <c r="P21" s="36">
        <f>'With Loan'!$D$38</f>
        <v>123997.99862734665</v>
      </c>
      <c r="Q21" s="37">
        <f>'With Loan'!$H$31</f>
        <v>3.5000000000000003E-2</v>
      </c>
      <c r="R21" s="38">
        <f>'With Loan'!$D$24</f>
        <v>374990</v>
      </c>
      <c r="S21" s="38">
        <f>'With Loan'!$D$40</f>
        <v>262493</v>
      </c>
      <c r="T21" s="41">
        <f t="shared" si="2"/>
        <v>253249.05804375221</v>
      </c>
      <c r="U21" s="41">
        <f>S21-_xlfn.XLOOKUP($M21*12,'30% Down Amortization'!$A$4:$A$363,'30% Down Amortization'!$E$4:$E$363,0,0,1)</f>
        <v>95330.115787995077</v>
      </c>
      <c r="V21" s="39">
        <f>(R21+T21)*'With Loan'!$H$36</f>
        <v>43976.734063062657</v>
      </c>
      <c r="W21" s="36">
        <f>'With Loan'!$I$27*'With Loan'!$M21</f>
        <v>68622.813611523437</v>
      </c>
      <c r="X21" s="34">
        <f t="shared" si="4"/>
        <v>4574.8542407682289</v>
      </c>
      <c r="Y21" s="80">
        <f>IF($H$32=$M21,R21+T21-V21-_xlfn.XLOOKUP(M21*12,'30% Down Amortization'!$A$4:$A$363,'30% Down Amortization'!$E$4:$E$363,0,0,1),0)</f>
        <v>417099.43976868456</v>
      </c>
      <c r="Z21" s="70">
        <f t="shared" si="3"/>
        <v>421674.2940094528</v>
      </c>
      <c r="AA21" s="86"/>
    </row>
    <row r="22" spans="1:27" ht="14.25" customHeight="1" x14ac:dyDescent="0.25">
      <c r="A22" s="10"/>
      <c r="B22" s="43"/>
      <c r="C22" s="43"/>
      <c r="D22" s="44"/>
      <c r="E22" s="45"/>
      <c r="F22" s="43"/>
      <c r="G22" s="43"/>
      <c r="H22" s="43"/>
      <c r="I22" s="43"/>
      <c r="M22" s="30">
        <v>16</v>
      </c>
      <c r="N22" s="34">
        <f t="shared" si="0"/>
        <v>406712.91816175892</v>
      </c>
      <c r="O22" s="35">
        <f t="shared" si="1"/>
        <v>0.2049997392417903</v>
      </c>
      <c r="P22" s="36">
        <f>'With Loan'!$D$38</f>
        <v>123997.99862734665</v>
      </c>
      <c r="Q22" s="37">
        <f>'With Loan'!$H$31</f>
        <v>3.5000000000000003E-2</v>
      </c>
      <c r="R22" s="38">
        <f>'With Loan'!$D$24</f>
        <v>374990</v>
      </c>
      <c r="S22" s="38">
        <f>'With Loan'!$D$40</f>
        <v>262493</v>
      </c>
      <c r="T22" s="39">
        <f t="shared" si="2"/>
        <v>275237.42507528339</v>
      </c>
      <c r="U22" s="39">
        <f>S22-_xlfn.XLOOKUP($M22*12,'30% Down Amortization'!$A$4:$A$363,'30% Down Amortization'!$E$4:$E$363,0,0,1)</f>
        <v>103793.7449894537</v>
      </c>
      <c r="V22" s="39">
        <f>(R22+T22)*'With Loan'!$H$36</f>
        <v>45515.919755269839</v>
      </c>
      <c r="W22" s="36">
        <f>'With Loan'!$I$27*'With Loan'!$M22</f>
        <v>73197.667852291663</v>
      </c>
      <c r="X22" s="34">
        <f t="shared" si="4"/>
        <v>4574.8542407682289</v>
      </c>
      <c r="Y22" s="80">
        <f>IF($H$32=$M22,R22+T22-V22-_xlfn.XLOOKUP(M22*12,'30% Down Amortization'!$A$4:$A$363,'30% Down Amortization'!$E$4:$E$363,0,0,1),0)</f>
        <v>0</v>
      </c>
      <c r="Z22" s="70">
        <f t="shared" si="3"/>
        <v>0</v>
      </c>
    </row>
    <row r="23" spans="1:27" ht="18" x14ac:dyDescent="0.25">
      <c r="A23" s="10"/>
      <c r="B23" s="46" t="s">
        <v>0</v>
      </c>
      <c r="C23" s="46"/>
      <c r="D23" s="47"/>
      <c r="E23" s="48"/>
      <c r="F23" s="49"/>
      <c r="G23" s="46" t="s">
        <v>23</v>
      </c>
      <c r="H23" s="48" t="s">
        <v>11</v>
      </c>
      <c r="I23" s="48" t="s">
        <v>12</v>
      </c>
      <c r="M23" s="30">
        <v>17</v>
      </c>
      <c r="N23" s="34">
        <f t="shared" si="0"/>
        <v>441239.20268397866</v>
      </c>
      <c r="O23" s="35">
        <f t="shared" si="1"/>
        <v>0.2093198882564902</v>
      </c>
      <c r="P23" s="36">
        <f>'With Loan'!$D$38</f>
        <v>123997.99862734665</v>
      </c>
      <c r="Q23" s="37">
        <f>'With Loan'!$H$31</f>
        <v>3.5000000000000003E-2</v>
      </c>
      <c r="R23" s="38">
        <f>'With Loan'!$D$24</f>
        <v>374990</v>
      </c>
      <c r="S23" s="38">
        <f>'With Loan'!$D$40</f>
        <v>262493</v>
      </c>
      <c r="T23" s="39">
        <f t="shared" si="2"/>
        <v>297995.38495291828</v>
      </c>
      <c r="U23" s="39">
        <f>S23-_xlfn.XLOOKUP($M23*12,'30% Down Amortization'!$A$4:$A$363,'30% Down Amortization'!$E$4:$E$363,0,0,1)</f>
        <v>112580.27258470474</v>
      </c>
      <c r="V23" s="39">
        <f>(R23+T23)*'With Loan'!$H$36</f>
        <v>47108.976946704286</v>
      </c>
      <c r="W23" s="36">
        <f>'With Loan'!$I$27*'With Loan'!$M23</f>
        <v>77772.522093059888</v>
      </c>
      <c r="X23" s="34">
        <f t="shared" si="4"/>
        <v>4574.8542407682289</v>
      </c>
      <c r="Y23" s="80">
        <f>IF($H$32=$M23,R23+T23-V23-_xlfn.XLOOKUP(M23*12,'30% Down Amortization'!$A$4:$A$363,'30% Down Amortization'!$E$4:$E$363,0,0,1),0)</f>
        <v>0</v>
      </c>
      <c r="Z23" s="70">
        <f t="shared" si="3"/>
        <v>0</v>
      </c>
    </row>
    <row r="24" spans="1:27" x14ac:dyDescent="0.25">
      <c r="A24" s="10"/>
      <c r="B24" s="56" t="s">
        <v>84</v>
      </c>
      <c r="C24" s="56"/>
      <c r="D24" s="61">
        <f>D34</f>
        <v>374990</v>
      </c>
      <c r="E24" s="45"/>
      <c r="F24" s="43"/>
      <c r="G24" s="44" t="s">
        <v>24</v>
      </c>
      <c r="H24" s="50">
        <f>Summary!D11</f>
        <v>1375</v>
      </c>
      <c r="I24" s="53">
        <f>H24*12</f>
        <v>16500</v>
      </c>
      <c r="M24" s="30">
        <v>18</v>
      </c>
      <c r="N24" s="34">
        <f t="shared" si="0"/>
        <v>476841.47618509672</v>
      </c>
      <c r="O24" s="35">
        <f t="shared" si="1"/>
        <v>0.21364210241012604</v>
      </c>
      <c r="P24" s="36">
        <f>'With Loan'!$D$38</f>
        <v>123997.99862734665</v>
      </c>
      <c r="Q24" s="37">
        <f>'With Loan'!$H$31</f>
        <v>3.5000000000000003E-2</v>
      </c>
      <c r="R24" s="38">
        <f>'With Loan'!$D$24</f>
        <v>374990</v>
      </c>
      <c r="S24" s="38">
        <f>'With Loan'!$D$40</f>
        <v>262493</v>
      </c>
      <c r="T24" s="39">
        <f t="shared" si="2"/>
        <v>321549.87342627044</v>
      </c>
      <c r="U24" s="39">
        <f>S24-_xlfn.XLOOKUP($M24*12,'30% Down Amortization'!$A$4:$A$363,'30% Down Amortization'!$E$4:$E$363,0,0,1)</f>
        <v>121702.01756483715</v>
      </c>
      <c r="V24" s="39">
        <f>(R24+T24)*'With Loan'!$H$36</f>
        <v>48757.791139838933</v>
      </c>
      <c r="W24" s="36">
        <f>'With Loan'!$I$27*'With Loan'!$M24</f>
        <v>82347.376333828113</v>
      </c>
      <c r="X24" s="34">
        <f t="shared" si="4"/>
        <v>4574.8542407682289</v>
      </c>
      <c r="Y24" s="80">
        <f>IF($H$32=$M24,R24+T24-V24-_xlfn.XLOOKUP(M24*12,'30% Down Amortization'!$A$4:$A$363,'30% Down Amortization'!$E$4:$E$363,0,0,1),0)</f>
        <v>0</v>
      </c>
      <c r="Z24" s="70">
        <f t="shared" si="3"/>
        <v>0</v>
      </c>
    </row>
    <row r="25" spans="1:27" x14ac:dyDescent="0.25">
      <c r="A25" s="10"/>
      <c r="B25" s="56" t="s">
        <v>89</v>
      </c>
      <c r="C25" s="56"/>
      <c r="D25" s="61">
        <f>I25</f>
        <v>33000</v>
      </c>
      <c r="E25" s="45"/>
      <c r="F25" s="43"/>
      <c r="G25" s="44" t="s">
        <v>135</v>
      </c>
      <c r="H25" s="50">
        <f>H24*2</f>
        <v>2750</v>
      </c>
      <c r="I25" s="53">
        <f t="shared" ref="I25" si="5">H25*12</f>
        <v>33000</v>
      </c>
      <c r="M25" s="30">
        <v>19</v>
      </c>
      <c r="N25" s="34">
        <f t="shared" si="0"/>
        <v>513558.45464742591</v>
      </c>
      <c r="O25" s="35">
        <f t="shared" si="1"/>
        <v>0.21798248882303675</v>
      </c>
      <c r="P25" s="36">
        <f>'With Loan'!$D$38</f>
        <v>123997.99862734665</v>
      </c>
      <c r="Q25" s="37">
        <f>'With Loan'!$H$31</f>
        <v>3.5000000000000003E-2</v>
      </c>
      <c r="R25" s="38">
        <f>'With Loan'!$D$24</f>
        <v>374990</v>
      </c>
      <c r="S25" s="38">
        <f>'With Loan'!$D$40</f>
        <v>262493</v>
      </c>
      <c r="T25" s="39">
        <f t="shared" si="2"/>
        <v>345928.76899618981</v>
      </c>
      <c r="U25" s="39">
        <f>S25-_xlfn.XLOOKUP($M25*12,'30% Down Amortization'!$A$4:$A$363,'30% Down Amortization'!$E$4:$E$363,0,0,1)</f>
        <v>131171.76890637309</v>
      </c>
      <c r="V25" s="39">
        <f>(R25+T25)*'With Loan'!$H$36</f>
        <v>50464.313829733292</v>
      </c>
      <c r="W25" s="36">
        <f>'With Loan'!$I$27*'With Loan'!$M25</f>
        <v>86922.230574596353</v>
      </c>
      <c r="X25" s="34">
        <f t="shared" si="4"/>
        <v>4574.8542407682289</v>
      </c>
      <c r="Y25" s="80">
        <f>IF($H$32=$M25,R25+T25-V25-_xlfn.XLOOKUP(M25*12,'30% Down Amortization'!$A$4:$A$363,'30% Down Amortization'!$E$4:$E$363,0,0,1),0)</f>
        <v>0</v>
      </c>
      <c r="Z25" s="70">
        <f t="shared" si="3"/>
        <v>0</v>
      </c>
    </row>
    <row r="26" spans="1:27" x14ac:dyDescent="0.25">
      <c r="A26" s="10"/>
      <c r="B26" s="56" t="s">
        <v>2</v>
      </c>
      <c r="C26" s="56"/>
      <c r="D26" s="61">
        <f>D38</f>
        <v>123997.99862734665</v>
      </c>
      <c r="E26" s="45"/>
      <c r="F26" s="43"/>
      <c r="G26" s="44" t="s">
        <v>116</v>
      </c>
      <c r="H26" s="50">
        <f>D55</f>
        <v>2368.7621466026471</v>
      </c>
      <c r="I26" s="53">
        <f>E55</f>
        <v>28425.145759231771</v>
      </c>
      <c r="M26" s="30">
        <v>20</v>
      </c>
      <c r="N26" s="34">
        <f t="shared" si="0"/>
        <v>551430.24941446644</v>
      </c>
      <c r="O26" s="35">
        <f t="shared" si="1"/>
        <v>0.222354495846215</v>
      </c>
      <c r="P26" s="36">
        <f>'With Loan'!$D$38</f>
        <v>123997.99862734665</v>
      </c>
      <c r="Q26" s="37">
        <f>'With Loan'!$H$31</f>
        <v>3.5000000000000003E-2</v>
      </c>
      <c r="R26" s="38">
        <f>'With Loan'!$D$24</f>
        <v>374990</v>
      </c>
      <c r="S26" s="38">
        <f>'With Loan'!$D$40</f>
        <v>262493</v>
      </c>
      <c r="T26" s="39">
        <f t="shared" si="2"/>
        <v>371160.92591105634</v>
      </c>
      <c r="U26" s="39">
        <f>S26-_xlfn.XLOOKUP($M26*12,'30% Down Amortization'!$A$4:$A$363,'30% Down Amortization'!$E$4:$E$363,0,0,1)</f>
        <v>141002.80350181955</v>
      </c>
      <c r="V26" s="39">
        <f>(R26+T26)*'With Loan'!$H$36</f>
        <v>52230.564813773948</v>
      </c>
      <c r="W26" s="36">
        <f>'With Loan'!$I$27*'With Loan'!$M26</f>
        <v>91497.084815364578</v>
      </c>
      <c r="X26" s="34">
        <f t="shared" si="4"/>
        <v>4574.8542407682289</v>
      </c>
      <c r="Y26" s="80">
        <f>IF($H$32=$M26,R26+T26-V26-_xlfn.XLOOKUP(M26*12,'30% Down Amortization'!$A$4:$A$363,'30% Down Amortization'!$E$4:$E$363,0,0,1),0)</f>
        <v>0</v>
      </c>
      <c r="Z26" s="70">
        <f t="shared" si="3"/>
        <v>0</v>
      </c>
    </row>
    <row r="27" spans="1:27" x14ac:dyDescent="0.25">
      <c r="A27" s="10"/>
      <c r="B27" s="56" t="s">
        <v>124</v>
      </c>
      <c r="C27" s="56"/>
      <c r="D27" s="61">
        <f>H27</f>
        <v>381.23785339735286</v>
      </c>
      <c r="E27" s="45"/>
      <c r="F27" s="43"/>
      <c r="G27" s="56" t="s">
        <v>68</v>
      </c>
      <c r="H27" s="58">
        <f>H25-H26</f>
        <v>381.23785339735286</v>
      </c>
      <c r="I27" s="59">
        <f>I25-I26</f>
        <v>4574.8542407682289</v>
      </c>
      <c r="M27" s="30">
        <v>21</v>
      </c>
      <c r="N27" s="34">
        <f t="shared" si="0"/>
        <v>590498.41756611387</v>
      </c>
      <c r="O27" s="35">
        <f t="shared" si="1"/>
        <v>0.22676956544725757</v>
      </c>
      <c r="P27" s="36">
        <f>'With Loan'!$D$38</f>
        <v>123997.99862734665</v>
      </c>
      <c r="Q27" s="37">
        <f>'With Loan'!$H$31</f>
        <v>3.5000000000000003E-2</v>
      </c>
      <c r="R27" s="38">
        <f>'With Loan'!$D$24</f>
        <v>374990</v>
      </c>
      <c r="S27" s="38">
        <f>'With Loan'!$D$40</f>
        <v>262493</v>
      </c>
      <c r="T27" s="39">
        <f t="shared" si="2"/>
        <v>397276.20831794315</v>
      </c>
      <c r="U27" s="39">
        <f>S27-_xlfn.XLOOKUP($M27*12,'30% Down Amortization'!$A$4:$A$363,'30% Down Amortization'!$E$4:$E$363,0,0,1)</f>
        <v>151208.90477429383</v>
      </c>
      <c r="V27" s="39">
        <f>(R27+T27)*'With Loan'!$H$36</f>
        <v>54058.634582256025</v>
      </c>
      <c r="W27" s="36">
        <f>'With Loan'!$I$27*'With Loan'!$M27</f>
        <v>96071.939056132804</v>
      </c>
      <c r="X27" s="34">
        <f t="shared" si="4"/>
        <v>4574.8542407682289</v>
      </c>
      <c r="Y27" s="80">
        <f>IF($H$32=$M27,R27+T27-V27-_xlfn.XLOOKUP(M27*12,'30% Down Amortization'!$A$4:$A$363,'30% Down Amortization'!$E$4:$E$363,0,0,1),0)</f>
        <v>0</v>
      </c>
      <c r="Z27" s="70">
        <f t="shared" si="3"/>
        <v>0</v>
      </c>
    </row>
    <row r="28" spans="1:27" x14ac:dyDescent="0.25">
      <c r="A28" s="10"/>
      <c r="B28" s="56" t="s">
        <v>125</v>
      </c>
      <c r="C28" s="56"/>
      <c r="D28" s="61">
        <f>H28</f>
        <v>546.23785339735286</v>
      </c>
      <c r="E28" s="45"/>
      <c r="F28" s="43"/>
      <c r="G28" s="56" t="s">
        <v>129</v>
      </c>
      <c r="H28" s="58">
        <f>H25-H26+D53+D54</f>
        <v>546.23785339735286</v>
      </c>
      <c r="I28" s="58">
        <f>I25-I26+E53+E54</f>
        <v>6554.8542407682289</v>
      </c>
      <c r="M28" s="30">
        <v>22</v>
      </c>
      <c r="N28" s="34">
        <f t="shared" si="0"/>
        <v>630806.01411565836</v>
      </c>
      <c r="O28" s="35">
        <f t="shared" si="1"/>
        <v>0.23123760834069831</v>
      </c>
      <c r="P28" s="36">
        <f>'With Loan'!$D$38</f>
        <v>123997.99862734665</v>
      </c>
      <c r="Q28" s="37">
        <f>'With Loan'!$H$31</f>
        <v>3.5000000000000003E-2</v>
      </c>
      <c r="R28" s="38">
        <f>'With Loan'!$D$24</f>
        <v>374990</v>
      </c>
      <c r="S28" s="38">
        <f>'With Loan'!$D$40</f>
        <v>262493</v>
      </c>
      <c r="T28" s="39">
        <f t="shared" si="2"/>
        <v>424305.52560907125</v>
      </c>
      <c r="U28" s="39">
        <f>S28-_xlfn.XLOOKUP($M28*12,'30% Down Amortization'!$A$4:$A$363,'30% Down Amortization'!$E$4:$E$363,0,0,1)</f>
        <v>161804.38200232107</v>
      </c>
      <c r="V28" s="39">
        <f>(R28+T28)*'With Loan'!$H$36</f>
        <v>55950.686792634995</v>
      </c>
      <c r="W28" s="36">
        <f>'With Loan'!$I$27*'With Loan'!$M28</f>
        <v>100646.79329690104</v>
      </c>
      <c r="X28" s="34">
        <f t="shared" si="4"/>
        <v>4574.8542407682289</v>
      </c>
      <c r="Y28" s="80">
        <f>IF($H$32=$M28,R28+T28-V28-_xlfn.XLOOKUP(M28*12,'30% Down Amortization'!$A$4:$A$363,'30% Down Amortization'!$E$4:$E$363,0,0,1),0)</f>
        <v>0</v>
      </c>
      <c r="Z28" s="70">
        <f t="shared" si="3"/>
        <v>0</v>
      </c>
    </row>
    <row r="29" spans="1:27" x14ac:dyDescent="0.25">
      <c r="A29" s="10"/>
      <c r="B29" s="56" t="s">
        <v>3</v>
      </c>
      <c r="C29" s="56"/>
      <c r="D29" s="61">
        <f>H39</f>
        <v>373225.2533802081</v>
      </c>
      <c r="E29" s="45"/>
      <c r="F29" s="43"/>
      <c r="G29" s="10"/>
      <c r="H29" s="10"/>
      <c r="I29" s="10"/>
      <c r="M29" s="30">
        <v>23</v>
      </c>
      <c r="N29" s="34">
        <f t="shared" si="0"/>
        <v>672397.64609457867</v>
      </c>
      <c r="O29" s="35">
        <f t="shared" si="1"/>
        <v>0.23576735583322742</v>
      </c>
      <c r="P29" s="36">
        <f>'With Loan'!$D$38</f>
        <v>123997.99862734665</v>
      </c>
      <c r="Q29" s="37">
        <f>'With Loan'!$H$31</f>
        <v>3.5000000000000003E-2</v>
      </c>
      <c r="R29" s="38">
        <f>'With Loan'!$D$24</f>
        <v>374990</v>
      </c>
      <c r="S29" s="38">
        <f>'With Loan'!$D$40</f>
        <v>262493</v>
      </c>
      <c r="T29" s="39">
        <f t="shared" si="2"/>
        <v>452280.8690053887</v>
      </c>
      <c r="U29" s="39">
        <f>S29-_xlfn.XLOOKUP($M29*12,'30% Down Amortization'!$A$4:$A$363,'30% Down Amortization'!$E$4:$E$363,0,0,1)</f>
        <v>172804.09038189784</v>
      </c>
      <c r="V29" s="39">
        <f>(R29+T29)*'With Loan'!$H$36</f>
        <v>57908.960830377211</v>
      </c>
      <c r="W29" s="36">
        <f>'With Loan'!$I$27*'With Loan'!$M29</f>
        <v>105221.64753766927</v>
      </c>
      <c r="X29" s="34">
        <f t="shared" si="4"/>
        <v>4574.8542407682289</v>
      </c>
      <c r="Y29" s="80">
        <f>IF($H$32=$M29,R29+T29-V29-_xlfn.XLOOKUP(M29*12,'30% Down Amortization'!$A$4:$A$363,'30% Down Amortization'!$E$4:$E$363,0,0,1),0)</f>
        <v>0</v>
      </c>
      <c r="Z29" s="70">
        <f t="shared" si="3"/>
        <v>0</v>
      </c>
    </row>
    <row r="30" spans="1:27" ht="18" x14ac:dyDescent="0.25">
      <c r="A30" s="10"/>
      <c r="B30" s="56" t="s">
        <v>4</v>
      </c>
      <c r="C30" s="56"/>
      <c r="D30" s="57">
        <f>H43</f>
        <v>0.20066197708124225</v>
      </c>
      <c r="E30" s="45"/>
      <c r="F30" s="43"/>
      <c r="G30" s="46" t="s">
        <v>25</v>
      </c>
      <c r="H30" s="48"/>
      <c r="I30" s="48"/>
      <c r="M30" s="30">
        <v>24</v>
      </c>
      <c r="N30" s="34">
        <f t="shared" si="0"/>
        <v>715319.52859352343</v>
      </c>
      <c r="O30" s="35">
        <f t="shared" si="1"/>
        <v>0.24036662436493758</v>
      </c>
      <c r="P30" s="36">
        <f>'With Loan'!$D$38</f>
        <v>123997.99862734665</v>
      </c>
      <c r="Q30" s="37">
        <f>'With Loan'!$H$31</f>
        <v>3.5000000000000003E-2</v>
      </c>
      <c r="R30" s="38">
        <f>'With Loan'!$D$24</f>
        <v>374990</v>
      </c>
      <c r="S30" s="38">
        <f>'With Loan'!$D$40</f>
        <v>262493</v>
      </c>
      <c r="T30" s="39">
        <f t="shared" si="2"/>
        <v>481235.34942057717</v>
      </c>
      <c r="U30" s="39">
        <f>S30-_xlfn.XLOOKUP($M30*12,'30% Down Amortization'!$A$4:$A$363,'30% Down Amortization'!$E$4:$E$363,0,0,1)</f>
        <v>184223.45185394911</v>
      </c>
      <c r="V30" s="39">
        <f>(R30+T30)*'With Loan'!$H$36</f>
        <v>59935.774459440407</v>
      </c>
      <c r="W30" s="36">
        <f>'With Loan'!$I$27*'With Loan'!$M30</f>
        <v>109796.50177843749</v>
      </c>
      <c r="X30" s="34">
        <f t="shared" si="4"/>
        <v>4574.8542407682289</v>
      </c>
      <c r="Y30" s="80">
        <f>IF($H$32=$M30,R30+T30-V30-_xlfn.XLOOKUP(M30*12,'30% Down Amortization'!$A$4:$A$363,'30% Down Amortization'!$E$4:$E$363,0,0,1),0)</f>
        <v>0</v>
      </c>
      <c r="Z30" s="70">
        <f t="shared" si="3"/>
        <v>0</v>
      </c>
    </row>
    <row r="31" spans="1:27" x14ac:dyDescent="0.25">
      <c r="A31" s="10"/>
      <c r="B31" s="56" t="s">
        <v>123</v>
      </c>
      <c r="D31" s="57">
        <f>H44</f>
        <v>0.10716864649593005</v>
      </c>
      <c r="F31" s="43"/>
      <c r="G31" s="44" t="s">
        <v>26</v>
      </c>
      <c r="H31" s="62">
        <f>Summary!D12</f>
        <v>3.5000000000000003E-2</v>
      </c>
      <c r="I31" s="45"/>
      <c r="M31" s="30">
        <v>25</v>
      </c>
      <c r="N31" s="34">
        <f t="shared" si="0"/>
        <v>759619.54283036222</v>
      </c>
      <c r="O31" s="35">
        <f t="shared" si="1"/>
        <v>0.2450425172145754</v>
      </c>
      <c r="P31" s="36">
        <f>'With Loan'!$D$38</f>
        <v>123997.99862734665</v>
      </c>
      <c r="Q31" s="37">
        <f>'With Loan'!$H$31</f>
        <v>3.5000000000000003E-2</v>
      </c>
      <c r="R31" s="38">
        <f>'With Loan'!$D$24</f>
        <v>374990</v>
      </c>
      <c r="S31" s="38">
        <f>'With Loan'!$D$40</f>
        <v>262493</v>
      </c>
      <c r="T31" s="39">
        <f t="shared" si="2"/>
        <v>511203.2366502973</v>
      </c>
      <c r="U31" s="39">
        <f>S31-_xlfn.XLOOKUP($M31*12,'30% Down Amortization'!$A$4:$A$363,'30% Down Amortization'!$E$4:$E$363,0,0,1)</f>
        <v>196078.47672638</v>
      </c>
      <c r="V31" s="39">
        <f>(R31+T31)*'With Loan'!$H$36</f>
        <v>62033.52656552082</v>
      </c>
      <c r="W31" s="36">
        <f>'With Loan'!$I$27*'With Loan'!$M31</f>
        <v>114371.35601920572</v>
      </c>
      <c r="X31" s="34">
        <f t="shared" si="4"/>
        <v>4574.8542407682289</v>
      </c>
      <c r="Y31" s="80">
        <f>IF($H$32=$M31,R31+T31-V31-_xlfn.XLOOKUP(M31*12,'30% Down Amortization'!$A$4:$A$363,'30% Down Amortization'!$E$4:$E$363,0,0,1),0)</f>
        <v>0</v>
      </c>
      <c r="Z31" s="70">
        <f t="shared" si="3"/>
        <v>0</v>
      </c>
    </row>
    <row r="32" spans="1:27" x14ac:dyDescent="0.25">
      <c r="A32" s="10"/>
      <c r="B32" s="56" t="s">
        <v>5</v>
      </c>
      <c r="C32" s="56"/>
      <c r="D32" s="57">
        <f>H45</f>
        <v>5.1101646332417754E-2</v>
      </c>
      <c r="E32" s="45"/>
      <c r="F32" s="43"/>
      <c r="G32" s="44" t="s">
        <v>27</v>
      </c>
      <c r="H32" s="79">
        <f>Summary!D13</f>
        <v>15</v>
      </c>
      <c r="I32" s="45"/>
      <c r="M32" s="30">
        <v>26</v>
      </c>
      <c r="N32" s="34">
        <f t="shared" si="0"/>
        <v>805347.29631875397</v>
      </c>
      <c r="O32" s="35">
        <f t="shared" si="1"/>
        <v>0.24980158030896257</v>
      </c>
      <c r="P32" s="36">
        <f>'With Loan'!$D$38</f>
        <v>123997.99862734665</v>
      </c>
      <c r="Q32" s="37">
        <f>'With Loan'!$H$31</f>
        <v>3.5000000000000003E-2</v>
      </c>
      <c r="R32" s="38">
        <f>'With Loan'!$D$24</f>
        <v>374990</v>
      </c>
      <c r="S32" s="38">
        <f>'With Loan'!$D$40</f>
        <v>262493</v>
      </c>
      <c r="T32" s="39">
        <f t="shared" si="2"/>
        <v>542219.99993305758</v>
      </c>
      <c r="U32" s="39">
        <f>S32-_xlfn.XLOOKUP($M32*12,'30% Down Amortization'!$A$4:$A$363,'30% Down Amortization'!$E$4:$E$363,0,0,1)</f>
        <v>208385.78612103651</v>
      </c>
      <c r="V32" s="39">
        <f>(R32+T32)*'With Loan'!$H$36</f>
        <v>64204.69999531404</v>
      </c>
      <c r="W32" s="36">
        <f>'With Loan'!$I$27*'With Loan'!$M32</f>
        <v>118946.21025997394</v>
      </c>
      <c r="X32" s="34">
        <f t="shared" si="4"/>
        <v>4574.8542407682289</v>
      </c>
      <c r="Y32" s="80">
        <f>IF($H$32=$M32,R32+T32-V32-_xlfn.XLOOKUP(M32*12,'30% Down Amortization'!$A$4:$A$363,'30% Down Amortization'!$E$4:$E$363,0,0,1),0)</f>
        <v>0</v>
      </c>
      <c r="Z32" s="70">
        <f t="shared" si="3"/>
        <v>0</v>
      </c>
    </row>
    <row r="33" spans="1:26" ht="18" x14ac:dyDescent="0.25">
      <c r="A33" s="10"/>
      <c r="B33" s="46" t="s">
        <v>6</v>
      </c>
      <c r="C33" s="46"/>
      <c r="D33" s="47"/>
      <c r="E33" s="48"/>
      <c r="F33" s="43"/>
      <c r="G33" s="56" t="str">
        <f>CONCATENATE("Appreciation After ",H32," Years")</f>
        <v>Appreciation After 15 Years</v>
      </c>
      <c r="H33" s="58">
        <f>$D$34*(1+H31)^H32-$D$34</f>
        <v>253249.05804375221</v>
      </c>
      <c r="I33" s="45" t="s">
        <v>74</v>
      </c>
      <c r="M33" s="30">
        <v>27</v>
      </c>
      <c r="N33" s="34">
        <f t="shared" si="0"/>
        <v>852554.18521335372</v>
      </c>
      <c r="O33" s="35">
        <f t="shared" si="1"/>
        <v>0.25464992405824277</v>
      </c>
      <c r="P33" s="36">
        <f>'With Loan'!$D$38</f>
        <v>123997.99862734665</v>
      </c>
      <c r="Q33" s="37">
        <f>'With Loan'!$H$31</f>
        <v>3.5000000000000003E-2</v>
      </c>
      <c r="R33" s="38">
        <f>'With Loan'!$D$24</f>
        <v>374990</v>
      </c>
      <c r="S33" s="38">
        <f>'With Loan'!$D$40</f>
        <v>262493</v>
      </c>
      <c r="T33" s="39">
        <f t="shared" si="2"/>
        <v>574322.3499307147</v>
      </c>
      <c r="U33" s="39">
        <f>S33-_xlfn.XLOOKUP($M33*12,'30% Down Amortization'!$A$4:$A$363,'30% Down Amortization'!$E$4:$E$363,0,0,1)</f>
        <v>221162.63527704685</v>
      </c>
      <c r="V33" s="39">
        <f>(R33+T33)*'With Loan'!$H$36</f>
        <v>66451.864495150032</v>
      </c>
      <c r="W33" s="36">
        <f>'With Loan'!$I$27*'With Loan'!$M33</f>
        <v>123521.06450074218</v>
      </c>
      <c r="X33" s="34">
        <f t="shared" si="4"/>
        <v>4574.8542407682289</v>
      </c>
      <c r="Y33" s="80">
        <f>IF($H$32=$M33,R33+T33-V33-_xlfn.XLOOKUP(M33*12,'30% Down Amortization'!$A$4:$A$363,'30% Down Amortization'!$E$4:$E$363,0,0,1),0)</f>
        <v>0</v>
      </c>
      <c r="Z33" s="70">
        <f t="shared" si="3"/>
        <v>0</v>
      </c>
    </row>
    <row r="34" spans="1:26" x14ac:dyDescent="0.25">
      <c r="A34" s="10"/>
      <c r="B34" s="44" t="s">
        <v>84</v>
      </c>
      <c r="C34" s="44"/>
      <c r="D34" s="50">
        <f>Summary!D8</f>
        <v>374990</v>
      </c>
      <c r="E34" s="45"/>
      <c r="F34" s="43"/>
      <c r="I34" s="45"/>
      <c r="M34" s="30">
        <v>28</v>
      </c>
      <c r="N34" s="34">
        <f t="shared" si="0"/>
        <v>901293.45891053532</v>
      </c>
      <c r="O34" s="35">
        <f t="shared" si="1"/>
        <v>0.25959331973321609</v>
      </c>
      <c r="P34" s="36">
        <f>'With Loan'!$D$38</f>
        <v>123997.99862734665</v>
      </c>
      <c r="Q34" s="37">
        <f>'With Loan'!$H$31</f>
        <v>3.5000000000000003E-2</v>
      </c>
      <c r="R34" s="38">
        <f>'With Loan'!$D$24</f>
        <v>374990</v>
      </c>
      <c r="S34" s="38">
        <f>'With Loan'!$D$40</f>
        <v>262493</v>
      </c>
      <c r="T34" s="39">
        <f t="shared" si="2"/>
        <v>607548.28217828972</v>
      </c>
      <c r="U34" s="39">
        <f>S34-_xlfn.XLOOKUP($M34*12,'30% Down Amortization'!$A$4:$A$363,'30% Down Amortization'!$E$4:$E$363,0,0,1)</f>
        <v>234426.93774321544</v>
      </c>
      <c r="V34" s="39">
        <f>(R34+T34)*'With Loan'!$H$36</f>
        <v>68777.679752480282</v>
      </c>
      <c r="W34" s="36">
        <f>'With Loan'!$I$27*'With Loan'!$M34</f>
        <v>128095.91874151041</v>
      </c>
      <c r="X34" s="34">
        <f t="shared" si="4"/>
        <v>4574.8542407682289</v>
      </c>
      <c r="Y34" s="80">
        <f>IF($H$32=$M34,R34+T34-V34-_xlfn.XLOOKUP(M34*12,'30% Down Amortization'!$A$4:$A$363,'30% Down Amortization'!$E$4:$E$363,0,0,1),0)</f>
        <v>0</v>
      </c>
      <c r="Z34" s="70">
        <f t="shared" si="3"/>
        <v>0</v>
      </c>
    </row>
    <row r="35" spans="1:26" x14ac:dyDescent="0.25">
      <c r="A35" s="10"/>
      <c r="B35" s="44" t="s">
        <v>8</v>
      </c>
      <c r="C35" s="81">
        <f>Summary!D9</f>
        <v>0.3</v>
      </c>
      <c r="D35" s="52">
        <f>C35*D34</f>
        <v>112497</v>
      </c>
      <c r="E35" s="45"/>
      <c r="F35" s="43"/>
      <c r="G35" s="56" t="s">
        <v>30</v>
      </c>
      <c r="H35" s="58">
        <f>D40-_xlfn.XLOOKUP($H$32*12,'30% Down Amortization'!$A$4:$A$363,'30% Down Amortization'!$E$4:$E$363,0,0,1)</f>
        <v>95330.115787995077</v>
      </c>
      <c r="I35" s="71"/>
      <c r="M35" s="30">
        <v>29</v>
      </c>
      <c r="N35" s="34">
        <f t="shared" si="0"/>
        <v>951620.28698637907</v>
      </c>
      <c r="O35" s="35">
        <f t="shared" si="1"/>
        <v>0.26463727655250868</v>
      </c>
      <c r="P35" s="36">
        <f>'With Loan'!$D$38</f>
        <v>123997.99862734665</v>
      </c>
      <c r="Q35" s="37">
        <f>'With Loan'!$H$31</f>
        <v>3.5000000000000003E-2</v>
      </c>
      <c r="R35" s="38">
        <f>'With Loan'!$D$24</f>
        <v>374990</v>
      </c>
      <c r="S35" s="38">
        <f>'With Loan'!$D$40</f>
        <v>262493</v>
      </c>
      <c r="T35" s="39">
        <f t="shared" si="2"/>
        <v>641937.12205452961</v>
      </c>
      <c r="U35" s="39">
        <f>S35-_xlfn.XLOOKUP($M35*12,'30% Down Amortization'!$A$4:$A$363,'30% Down Amortization'!$E$4:$E$363,0,0,1)</f>
        <v>248197.29049338793</v>
      </c>
      <c r="V35" s="39">
        <f>(R35+T35)*'With Loan'!$H$36</f>
        <v>71184.898543817078</v>
      </c>
      <c r="W35" s="36">
        <f>'With Loan'!$I$27*'With Loan'!$M35</f>
        <v>132670.77298227864</v>
      </c>
      <c r="X35" s="34">
        <f t="shared" si="4"/>
        <v>4574.8542407682289</v>
      </c>
      <c r="Y35" s="80">
        <f>IF($H$32=$M35,R35+T35-V35-_xlfn.XLOOKUP(M35*12,'30% Down Amortization'!$A$4:$A$363,'30% Down Amortization'!$E$4:$E$363,0,0,1),0)</f>
        <v>0</v>
      </c>
      <c r="Z35" s="70">
        <f t="shared" si="3"/>
        <v>0</v>
      </c>
    </row>
    <row r="36" spans="1:26" x14ac:dyDescent="0.25">
      <c r="A36" s="10"/>
      <c r="B36" s="44" t="s">
        <v>85</v>
      </c>
      <c r="C36" s="44"/>
      <c r="D36" s="52">
        <f>'Closing Costs'!C28</f>
        <v>11500.998627346644</v>
      </c>
      <c r="E36" s="60"/>
      <c r="F36" s="43"/>
      <c r="G36" s="44" t="s">
        <v>31</v>
      </c>
      <c r="H36" s="51">
        <v>7.0000000000000007E-2</v>
      </c>
      <c r="I36" s="45"/>
      <c r="M36" s="30">
        <v>30</v>
      </c>
      <c r="N36" s="34">
        <f t="shared" si="0"/>
        <v>1003591.8285566341</v>
      </c>
      <c r="O36" s="35">
        <f t="shared" si="1"/>
        <v>0.26978710400338696</v>
      </c>
      <c r="P36" s="36">
        <f>'With Loan'!$D$38</f>
        <v>123997.99862734665</v>
      </c>
      <c r="Q36" s="37">
        <f>'With Loan'!$H$31</f>
        <v>3.5000000000000003E-2</v>
      </c>
      <c r="R36" s="38">
        <f>'With Loan'!$D$24</f>
        <v>374990</v>
      </c>
      <c r="S36" s="38">
        <f>'With Loan'!$D$40</f>
        <v>262493</v>
      </c>
      <c r="T36" s="39">
        <f t="shared" si="2"/>
        <v>677529.5713264381</v>
      </c>
      <c r="U36" s="39">
        <f>S36-_xlfn.XLOOKUP($M36*12,'30% Down Amortization'!$A$4:$A$363,'30% Down Amortization'!$E$4:$E$363,0,0,1)</f>
        <v>262492.99999999994</v>
      </c>
      <c r="V36" s="39">
        <f>(R36+T36)*'With Loan'!$H$36</f>
        <v>73676.369992850668</v>
      </c>
      <c r="W36" s="36">
        <f>'With Loan'!$I$27*'With Loan'!$M36</f>
        <v>137245.62722304687</v>
      </c>
      <c r="X36" s="34">
        <f t="shared" si="4"/>
        <v>4574.8542407682289</v>
      </c>
      <c r="Y36" s="80">
        <f>IF($H$32=$M36,R36+T36-V36-_xlfn.XLOOKUP(M36*12,'30% Down Amortization'!$A$4:$A$363,'30% Down Amortization'!$E$4:$E$363,0,0,1),0)</f>
        <v>0</v>
      </c>
      <c r="Z36" s="70">
        <f t="shared" si="3"/>
        <v>0</v>
      </c>
    </row>
    <row r="37" spans="1:26" x14ac:dyDescent="0.25">
      <c r="A37" s="10"/>
      <c r="B37" s="44" t="s">
        <v>9</v>
      </c>
      <c r="C37" s="44"/>
      <c r="D37" s="50">
        <v>0</v>
      </c>
      <c r="E37" s="45"/>
      <c r="F37" s="43"/>
      <c r="G37" s="44" t="s">
        <v>32</v>
      </c>
      <c r="H37" s="52">
        <f>(D34+H33)*$H$36</f>
        <v>43976.734063062657</v>
      </c>
      <c r="I37" s="45"/>
      <c r="N37" s="34"/>
      <c r="Z37" s="70"/>
    </row>
    <row r="38" spans="1:26" x14ac:dyDescent="0.25">
      <c r="A38" s="10"/>
      <c r="B38" s="56" t="s">
        <v>2</v>
      </c>
      <c r="C38" s="56"/>
      <c r="D38" s="61">
        <f>SUM(D35:D37)</f>
        <v>123997.99862734665</v>
      </c>
      <c r="E38" s="45"/>
      <c r="F38" s="43"/>
      <c r="G38" s="56" t="s">
        <v>28</v>
      </c>
      <c r="H38" s="64">
        <f>H32*I27</f>
        <v>68622.813611523437</v>
      </c>
      <c r="I38" s="45"/>
      <c r="Z38" s="70"/>
    </row>
    <row r="39" spans="1:26" ht="18" x14ac:dyDescent="0.25">
      <c r="A39" s="10"/>
      <c r="B39" s="46" t="s">
        <v>10</v>
      </c>
      <c r="C39" s="46"/>
      <c r="D39" s="48" t="s">
        <v>11</v>
      </c>
      <c r="E39" s="48" t="s">
        <v>12</v>
      </c>
      <c r="F39" s="43"/>
      <c r="G39" s="56" t="s">
        <v>3</v>
      </c>
      <c r="H39" s="58">
        <f>H38+H33+H35-H37</f>
        <v>373225.2533802081</v>
      </c>
      <c r="I39" s="45"/>
      <c r="Z39" s="70"/>
    </row>
    <row r="40" spans="1:26" x14ac:dyDescent="0.25">
      <c r="A40" s="10"/>
      <c r="B40" s="44" t="s">
        <v>13</v>
      </c>
      <c r="C40" s="44"/>
      <c r="D40" s="52">
        <f>D34-D35</f>
        <v>262493</v>
      </c>
      <c r="E40" s="45"/>
      <c r="F40" s="43"/>
      <c r="I40" s="45"/>
      <c r="Z40" s="70"/>
    </row>
    <row r="41" spans="1:26" x14ac:dyDescent="0.25">
      <c r="A41" s="10"/>
      <c r="B41" s="44" t="s">
        <v>82</v>
      </c>
      <c r="C41" s="44"/>
      <c r="D41" s="63">
        <f>Summary!D10</f>
        <v>3.7499999999999999E-2</v>
      </c>
      <c r="E41" s="45"/>
      <c r="F41" s="43"/>
      <c r="G41" s="56" t="s">
        <v>119</v>
      </c>
      <c r="H41" s="65">
        <f>((H38/D38)/H32)</f>
        <v>3.6894581294953946E-2</v>
      </c>
      <c r="I41" s="45"/>
      <c r="Z41" s="70"/>
    </row>
    <row r="42" spans="1:26" x14ac:dyDescent="0.25">
      <c r="A42" s="10"/>
      <c r="B42" s="44" t="s">
        <v>14</v>
      </c>
      <c r="C42" s="44"/>
      <c r="D42" s="55">
        <v>30</v>
      </c>
      <c r="E42" s="45"/>
      <c r="F42" s="43"/>
      <c r="G42" s="56" t="s">
        <v>120</v>
      </c>
      <c r="H42" s="65">
        <f>((I28*H32)/D38)/H32</f>
        <v>5.2862580955581766E-2</v>
      </c>
      <c r="I42" s="45"/>
      <c r="Z42" s="70"/>
    </row>
    <row r="43" spans="1:26" x14ac:dyDescent="0.25">
      <c r="A43" s="10"/>
      <c r="B43" s="56" t="s">
        <v>15</v>
      </c>
      <c r="C43" s="56"/>
      <c r="D43" s="61">
        <f>-PMT(D41/12,D42*12,$D$40,0,0)</f>
        <v>1215.6460097854253</v>
      </c>
      <c r="E43" s="59">
        <f>D43*12</f>
        <v>14587.752117425105</v>
      </c>
      <c r="F43" s="43"/>
      <c r="G43" s="56" t="s">
        <v>4</v>
      </c>
      <c r="H43" s="65">
        <f>H39/D38/H32</f>
        <v>0.20066197708124225</v>
      </c>
      <c r="I43" s="45"/>
    </row>
    <row r="44" spans="1:26" ht="18" x14ac:dyDescent="0.25">
      <c r="A44" s="10"/>
      <c r="B44" s="46" t="s">
        <v>115</v>
      </c>
      <c r="C44" s="46"/>
      <c r="D44" s="48" t="s">
        <v>11</v>
      </c>
      <c r="E44" s="48" t="s">
        <v>12</v>
      </c>
      <c r="F44" s="43"/>
      <c r="G44" s="56" t="s">
        <v>123</v>
      </c>
      <c r="H44" s="65">
        <f>IRR(Z6:Z36)</f>
        <v>0.10716864649593005</v>
      </c>
      <c r="I44" s="45"/>
    </row>
    <row r="45" spans="1:26" x14ac:dyDescent="0.25">
      <c r="A45" s="10"/>
      <c r="B45" s="44" t="s">
        <v>16</v>
      </c>
      <c r="C45" s="44"/>
      <c r="D45" s="52">
        <f>D43</f>
        <v>1215.6460097854253</v>
      </c>
      <c r="E45" s="53">
        <f>E43</f>
        <v>14587.752117425105</v>
      </c>
      <c r="F45" s="43"/>
      <c r="G45" s="56" t="s">
        <v>5</v>
      </c>
      <c r="H45" s="65">
        <f>(I25-E55+E45)/D34</f>
        <v>5.1101646332417754E-2</v>
      </c>
    </row>
    <row r="46" spans="1:26" x14ac:dyDescent="0.25">
      <c r="A46" s="10"/>
      <c r="B46" s="44" t="s">
        <v>17</v>
      </c>
      <c r="C46" s="82">
        <v>2.0030539999999999E-2</v>
      </c>
      <c r="D46" s="52">
        <f>C46*0.9*D34/12</f>
        <v>563.343914595</v>
      </c>
      <c r="E46" s="53">
        <f>D46*12</f>
        <v>6760.1269751399996</v>
      </c>
      <c r="F46" s="43"/>
      <c r="G46" s="10"/>
      <c r="H46" s="10"/>
      <c r="I46" s="10"/>
    </row>
    <row r="47" spans="1:26" ht="18" x14ac:dyDescent="0.25">
      <c r="A47" s="10"/>
      <c r="B47" s="44" t="s">
        <v>19</v>
      </c>
      <c r="C47" s="44"/>
      <c r="D47" s="50">
        <v>105</v>
      </c>
      <c r="E47" s="53">
        <f>D47*12</f>
        <v>1260</v>
      </c>
      <c r="F47" s="43"/>
      <c r="G47" s="46" t="s">
        <v>33</v>
      </c>
      <c r="H47" s="48"/>
      <c r="I47" s="48"/>
    </row>
    <row r="48" spans="1:26" x14ac:dyDescent="0.25">
      <c r="A48" s="10"/>
      <c r="B48" s="56" t="s">
        <v>127</v>
      </c>
      <c r="C48" s="44"/>
      <c r="D48" s="20">
        <f>SUM(D45:D47)</f>
        <v>1883.9899243804252</v>
      </c>
      <c r="E48" s="20">
        <f>SUM(E45:E47)</f>
        <v>22607.879092565105</v>
      </c>
      <c r="F48" s="43"/>
      <c r="G48" s="56" t="s">
        <v>87</v>
      </c>
      <c r="H48" s="66"/>
      <c r="I48" s="58">
        <f>(D34-68000)/27.5</f>
        <v>11163.272727272728</v>
      </c>
    </row>
    <row r="49" spans="1:9" x14ac:dyDescent="0.25">
      <c r="A49" s="10"/>
      <c r="B49" s="10"/>
      <c r="C49" s="10"/>
      <c r="D49" s="17"/>
      <c r="E49" s="16"/>
      <c r="F49" s="43"/>
      <c r="G49" s="10"/>
      <c r="H49" s="10"/>
      <c r="I49" s="10"/>
    </row>
    <row r="50" spans="1:9" ht="18" x14ac:dyDescent="0.25">
      <c r="A50" s="10"/>
      <c r="B50" s="44" t="s">
        <v>126</v>
      </c>
      <c r="C50" s="44"/>
      <c r="D50" s="50">
        <f>1000/12</f>
        <v>83.333333333333329</v>
      </c>
      <c r="E50" s="53">
        <f>D50*12</f>
        <v>1000</v>
      </c>
      <c r="F50" s="43"/>
      <c r="G50" s="46" t="s">
        <v>34</v>
      </c>
      <c r="H50" s="48"/>
      <c r="I50" s="48"/>
    </row>
    <row r="51" spans="1:9" x14ac:dyDescent="0.25">
      <c r="A51" s="10"/>
      <c r="B51" s="44" t="s">
        <v>18</v>
      </c>
      <c r="C51" s="81">
        <v>0.06</v>
      </c>
      <c r="D51" s="52">
        <f>(H25-D53)*C51</f>
        <v>160.04999999999998</v>
      </c>
      <c r="E51" s="53">
        <f>D51*12</f>
        <v>1920.6</v>
      </c>
      <c r="F51" s="43"/>
      <c r="G51" s="44" t="s">
        <v>35</v>
      </c>
      <c r="H51" s="44"/>
      <c r="I51" s="67">
        <v>6</v>
      </c>
    </row>
    <row r="52" spans="1:9" x14ac:dyDescent="0.25">
      <c r="A52" s="10"/>
      <c r="B52" s="44" t="s">
        <v>128</v>
      </c>
      <c r="C52" s="81">
        <v>0.5</v>
      </c>
      <c r="D52" s="52">
        <f>(C52*H25)/18</f>
        <v>76.388888888888886</v>
      </c>
      <c r="E52" s="53">
        <f>D52*12</f>
        <v>916.66666666666663</v>
      </c>
      <c r="F52" s="43"/>
      <c r="G52" s="56" t="s">
        <v>34</v>
      </c>
      <c r="H52" s="68"/>
      <c r="I52" s="58">
        <f>MIN((D55-D51-D53),3500)*I51</f>
        <v>12757.272879615881</v>
      </c>
    </row>
    <row r="53" spans="1:9" x14ac:dyDescent="0.25">
      <c r="A53" s="10"/>
      <c r="B53" s="44" t="s">
        <v>20</v>
      </c>
      <c r="C53" s="81">
        <v>0.03</v>
      </c>
      <c r="D53" s="52">
        <f>C53*H25</f>
        <v>82.5</v>
      </c>
      <c r="E53" s="53">
        <f>D53*12</f>
        <v>990</v>
      </c>
      <c r="F53" s="43"/>
      <c r="G53" s="10"/>
      <c r="H53" s="10"/>
      <c r="I53" s="10"/>
    </row>
    <row r="54" spans="1:9" x14ac:dyDescent="0.25">
      <c r="A54" s="10"/>
      <c r="B54" s="44" t="s">
        <v>21</v>
      </c>
      <c r="C54" s="81">
        <v>0.03</v>
      </c>
      <c r="D54" s="52">
        <f>C54*H25</f>
        <v>82.5</v>
      </c>
      <c r="E54" s="53">
        <f>D54*12</f>
        <v>990</v>
      </c>
      <c r="F54" s="43"/>
      <c r="G54" s="10"/>
      <c r="H54" s="10"/>
      <c r="I54" s="10"/>
    </row>
    <row r="55" spans="1:9" x14ac:dyDescent="0.25">
      <c r="A55" s="10"/>
      <c r="B55" s="56" t="s">
        <v>116</v>
      </c>
      <c r="C55" s="56"/>
      <c r="D55" s="58">
        <f>SUM(D48:D54)</f>
        <v>2368.7621466026471</v>
      </c>
      <c r="E55" s="58">
        <f>SUM(E48:E54)</f>
        <v>28425.145759231771</v>
      </c>
      <c r="F55" s="43"/>
      <c r="G55" s="10"/>
      <c r="H55" s="10"/>
      <c r="I55" s="10"/>
    </row>
    <row r="56" spans="1:9" x14ac:dyDescent="0.25">
      <c r="A56" s="10"/>
      <c r="B56" s="10"/>
      <c r="C56" s="10"/>
      <c r="D56" s="17"/>
      <c r="E56" s="16"/>
      <c r="F56" s="43"/>
      <c r="G56" s="10"/>
      <c r="H56" s="10"/>
      <c r="I56" s="10"/>
    </row>
    <row r="57" spans="1:9" x14ac:dyDescent="0.25">
      <c r="A57" s="10"/>
      <c r="B57" s="44"/>
      <c r="C57" s="44"/>
      <c r="D57" s="50"/>
      <c r="E57" s="53"/>
      <c r="F57" s="43"/>
      <c r="G57" s="10"/>
      <c r="H57" s="10"/>
      <c r="I57" s="10"/>
    </row>
    <row r="58" spans="1:9" x14ac:dyDescent="0.25">
      <c r="A58" s="10"/>
      <c r="B58" s="18" t="s">
        <v>69</v>
      </c>
      <c r="C58" s="18"/>
      <c r="D58" s="17"/>
      <c r="E58" s="16"/>
      <c r="F58" s="10"/>
      <c r="G58" s="10"/>
      <c r="H58" s="10"/>
      <c r="I58" s="10"/>
    </row>
    <row r="59" spans="1:9" ht="55.9" customHeight="1" x14ac:dyDescent="0.25">
      <c r="A59" s="10"/>
      <c r="B59" s="111" t="s">
        <v>70</v>
      </c>
      <c r="C59" s="111"/>
      <c r="D59" s="111"/>
      <c r="E59" s="111"/>
      <c r="F59" s="111"/>
      <c r="G59" s="111"/>
      <c r="H59" s="111"/>
      <c r="I59" s="111"/>
    </row>
    <row r="60" spans="1:9" ht="18" x14ac:dyDescent="0.25">
      <c r="A60" s="10"/>
      <c r="B60" s="110" t="s">
        <v>71</v>
      </c>
      <c r="C60" s="110"/>
      <c r="D60" s="110"/>
      <c r="E60" s="110"/>
      <c r="F60" s="110"/>
      <c r="G60" s="110"/>
      <c r="H60" s="110"/>
      <c r="I60" s="110"/>
    </row>
    <row r="61" spans="1:9" x14ac:dyDescent="0.25">
      <c r="F61" s="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sheetData>
  <sheetProtection selectLockedCells="1"/>
  <mergeCells count="6">
    <mergeCell ref="B60:I60"/>
    <mergeCell ref="B3:I3"/>
    <mergeCell ref="B1:I1"/>
    <mergeCell ref="B2:I2"/>
    <mergeCell ref="B4:I4"/>
    <mergeCell ref="B59:I59"/>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8CF3207-B10D-4B80-8F02-1AE1D0E2196C}">
          <x14:formula1>
            <xm:f>DAta!$H$2:$H$7</xm:f>
          </x14:formula1>
          <xm:sqref>I51</xm:sqref>
        </x14:dataValidation>
        <x14:dataValidation type="list" allowBlank="1" showInputMessage="1" showErrorMessage="1" xr:uid="{6C9A5CE5-8D98-4AF3-AEA5-695A66A1EFAD}">
          <x14:formula1>
            <xm:f>DAta!$F$2:$F$12</xm:f>
          </x14:formula1>
          <xm:sqref>C51</xm:sqref>
        </x14:dataValidation>
        <x14:dataValidation type="list" allowBlank="1" showInputMessage="1" showErrorMessage="1" xr:uid="{C774F02B-450C-43D8-B02E-BCEC7076DE27}">
          <x14:formula1>
            <xm:f>DAta!$H$2:$H$31</xm:f>
          </x14:formula1>
          <xm:sqref>H32</xm:sqref>
        </x14:dataValidation>
        <x14:dataValidation type="list" allowBlank="1" showInputMessage="1" showErrorMessage="1" xr:uid="{9B0933B4-BBD2-4ED5-9A4E-2C7FD8C4978D}">
          <x14:formula1>
            <xm:f>DAta!$E$2:$E$11</xm:f>
          </x14:formula1>
          <xm:sqref>C54</xm:sqref>
        </x14:dataValidation>
        <x14:dataValidation type="list" allowBlank="1" showInputMessage="1" showErrorMessage="1" xr:uid="{DC98E49C-C163-443E-86C2-D08DE089F76A}">
          <x14:formula1>
            <xm:f>DAta!$C$2:$C$11</xm:f>
          </x14:formula1>
          <xm:sqref>C53</xm:sqref>
        </x14:dataValidation>
        <x14:dataValidation type="list" allowBlank="1" showInputMessage="1" showErrorMessage="1" xr:uid="{F6E919F1-45C0-410C-AAAD-2EF75E7F6EAE}">
          <x14:formula1>
            <xm:f>DAta!$A$2:$A$23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D3F3-A1E6-45C1-8DCD-77FB45BCDC03}">
  <sheetPr>
    <pageSetUpPr fitToPage="1"/>
  </sheetPr>
  <dimension ref="A1:Z69"/>
  <sheetViews>
    <sheetView zoomScale="85" zoomScaleNormal="85" workbookViewId="0">
      <selection activeCell="B1" sqref="B1:I1"/>
    </sheetView>
  </sheetViews>
  <sheetFormatPr defaultRowHeight="15" x14ac:dyDescent="0.25"/>
  <cols>
    <col min="1" max="1" width="3" customWidth="1"/>
    <col min="2" max="2" width="50.28515625" bestFit="1" customWidth="1"/>
    <col min="3" max="3" width="12.5703125" customWidth="1"/>
    <col min="4" max="4" width="12.7109375" style="8" customWidth="1"/>
    <col min="5" max="5" width="13.140625" style="9" customWidth="1"/>
    <col min="6" max="6" width="5.28515625" customWidth="1"/>
    <col min="7" max="7" width="54.4257812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3.42578125" style="30" hidden="1" customWidth="1"/>
    <col min="17" max="17" width="17.57031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6" width="11" bestFit="1" customWidth="1"/>
  </cols>
  <sheetData>
    <row r="1" spans="1:23" x14ac:dyDescent="0.25">
      <c r="A1" s="10"/>
      <c r="B1" s="112"/>
      <c r="C1" s="112"/>
      <c r="D1" s="112"/>
      <c r="E1" s="112"/>
      <c r="F1" s="112"/>
      <c r="G1" s="112"/>
      <c r="H1" s="112"/>
      <c r="I1" s="112"/>
    </row>
    <row r="2" spans="1:23" x14ac:dyDescent="0.25">
      <c r="A2" s="10"/>
      <c r="B2" s="112"/>
      <c r="C2" s="112"/>
      <c r="D2" s="112"/>
      <c r="E2" s="112"/>
      <c r="F2" s="112"/>
      <c r="G2" s="112"/>
      <c r="H2" s="112"/>
      <c r="I2" s="112"/>
    </row>
    <row r="3" spans="1:23" ht="23.25" customHeight="1" x14ac:dyDescent="0.25">
      <c r="A3" s="10"/>
      <c r="B3" s="112"/>
      <c r="C3" s="112"/>
      <c r="D3" s="112"/>
      <c r="E3" s="112"/>
      <c r="F3" s="112"/>
      <c r="G3" s="112"/>
      <c r="H3" s="112"/>
      <c r="I3" s="112"/>
    </row>
    <row r="4" spans="1:23" ht="22.5" x14ac:dyDescent="0.3">
      <c r="A4" s="10"/>
      <c r="B4" s="113" t="s">
        <v>72</v>
      </c>
      <c r="C4" s="113"/>
      <c r="D4" s="113"/>
      <c r="E4" s="113"/>
      <c r="F4" s="113"/>
      <c r="G4" s="113"/>
      <c r="H4" s="113"/>
      <c r="I4" s="113"/>
      <c r="T4" s="39"/>
    </row>
    <row r="5" spans="1:23"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78</v>
      </c>
    </row>
    <row r="6" spans="1:23" ht="14.25" customHeight="1" x14ac:dyDescent="0.25">
      <c r="A6" s="10"/>
      <c r="B6" s="43"/>
      <c r="C6" s="43"/>
      <c r="D6" s="44"/>
      <c r="E6" s="45"/>
      <c r="F6" s="43"/>
      <c r="G6" s="43"/>
      <c r="H6" s="43"/>
      <c r="I6" s="43"/>
      <c r="M6" s="30">
        <v>0</v>
      </c>
    </row>
    <row r="7" spans="1:23" ht="14.25" customHeight="1" x14ac:dyDescent="0.25">
      <c r="A7" s="10"/>
      <c r="B7" s="43"/>
      <c r="C7" s="43"/>
      <c r="D7" s="44"/>
      <c r="E7" s="45"/>
      <c r="F7" s="43"/>
      <c r="G7" s="43"/>
      <c r="H7" s="43"/>
      <c r="I7" s="43"/>
      <c r="M7" s="30">
        <v>1</v>
      </c>
      <c r="N7" s="34">
        <f>T7+U7-V7</f>
        <v>-7942.8090680094429</v>
      </c>
      <c r="O7" s="35">
        <f t="shared" ref="O7:O32" si="0">N7/P7/M7</f>
        <v>-0.32254212622805795</v>
      </c>
      <c r="P7" s="36">
        <f>'Owner Occupier'!$D$38</f>
        <v>24625.648627346643</v>
      </c>
      <c r="Q7" s="37">
        <f>'Owner Occupier'!$H$30</f>
        <v>3.5000000000000003E-2</v>
      </c>
      <c r="R7" s="38">
        <f>'Owner Occupier'!$D$24</f>
        <v>374990</v>
      </c>
      <c r="S7" s="38">
        <f>'Owner Occupier'!$D$40</f>
        <v>361865.35</v>
      </c>
      <c r="T7" s="39">
        <f t="shared" ref="T7:T36" si="1">$R$7*(1+Q7)^M7-$R$7</f>
        <v>13124.649999999965</v>
      </c>
      <c r="U7" s="39">
        <f>S7-_xlfn.XLOOKUP($M7*12,'FHA Amotization'!$A$4:$A$363,'FHA Amotization'!$E$4:$E$363,0,0,1)</f>
        <v>6100.5664319905918</v>
      </c>
      <c r="V7" s="39">
        <f>(R7+T7)*'Owner Occupier'!$H$35</f>
        <v>27168.0255</v>
      </c>
      <c r="W7" s="36">
        <f t="shared" ref="W7:W36" si="2">$I$26*M7</f>
        <v>-17195.343787206039</v>
      </c>
    </row>
    <row r="8" spans="1:23" ht="14.25" customHeight="1" x14ac:dyDescent="0.25">
      <c r="A8" s="10"/>
      <c r="B8" s="43"/>
      <c r="C8" s="43"/>
      <c r="D8" s="44"/>
      <c r="E8" s="45"/>
      <c r="F8" s="43"/>
      <c r="G8" s="43"/>
      <c r="H8" s="43"/>
      <c r="I8" s="43"/>
      <c r="M8" s="30">
        <v>2</v>
      </c>
      <c r="N8" s="34">
        <f t="shared" ref="N8:N36" si="3">T8+U8-V8</f>
        <v>11055.273838838657</v>
      </c>
      <c r="O8" s="35">
        <f t="shared" si="0"/>
        <v>0.22446665275979447</v>
      </c>
      <c r="P8" s="36">
        <f>'Owner Occupier'!$D$38</f>
        <v>24625.648627346643</v>
      </c>
      <c r="Q8" s="37">
        <f>'Owner Occupier'!$H$30</f>
        <v>3.5000000000000003E-2</v>
      </c>
      <c r="R8" s="38">
        <f>'Owner Occupier'!$D$24</f>
        <v>374990</v>
      </c>
      <c r="S8" s="38">
        <f>'Owner Occupier'!$D$40</f>
        <v>361865.35</v>
      </c>
      <c r="T8" s="39">
        <f t="shared" si="1"/>
        <v>26708.662749999959</v>
      </c>
      <c r="U8" s="39">
        <f>S8-_xlfn.XLOOKUP($M8*12,'FHA Amotization'!$A$4:$A$363,'FHA Amotization'!$E$4:$E$363,0,0,1)</f>
        <v>12465.517481338698</v>
      </c>
      <c r="V8" s="39">
        <f>(R8+T8)*'Owner Occupier'!$H$35</f>
        <v>28118.906392500001</v>
      </c>
      <c r="W8" s="36">
        <f t="shared" si="2"/>
        <v>-34390.687574412077</v>
      </c>
    </row>
    <row r="9" spans="1:23" ht="14.25" customHeight="1" x14ac:dyDescent="0.25">
      <c r="A9" s="10"/>
      <c r="B9" s="43"/>
      <c r="C9" s="43"/>
      <c r="D9" s="44"/>
      <c r="E9" s="45"/>
      <c r="F9" s="43"/>
      <c r="G9" s="43"/>
      <c r="H9" s="43"/>
      <c r="I9" s="43"/>
      <c r="M9" s="30">
        <v>3</v>
      </c>
      <c r="N9" s="34">
        <f t="shared" si="3"/>
        <v>30771.358803600568</v>
      </c>
      <c r="O9" s="35">
        <f t="shared" si="0"/>
        <v>0.41652180441694903</v>
      </c>
      <c r="P9" s="36">
        <f>'Owner Occupier'!$D$38</f>
        <v>24625.648627346643</v>
      </c>
      <c r="Q9" s="37">
        <f>'Owner Occupier'!$H$30</f>
        <v>3.5000000000000003E-2</v>
      </c>
      <c r="R9" s="38">
        <f>'Owner Occupier'!$D$24</f>
        <v>374990</v>
      </c>
      <c r="S9" s="38">
        <f>'Owner Occupier'!$D$40</f>
        <v>361865.35</v>
      </c>
      <c r="T9" s="39">
        <f t="shared" si="1"/>
        <v>40768.11594624992</v>
      </c>
      <c r="U9" s="39">
        <f>S9-_xlfn.XLOOKUP($M9*12,'FHA Amotization'!$A$4:$A$363,'FHA Amotization'!$E$4:$E$363,0,0,1)</f>
        <v>19106.310973588144</v>
      </c>
      <c r="V9" s="39">
        <f>(R9+T9)*'Owner Occupier'!$H$35</f>
        <v>29103.068116237497</v>
      </c>
      <c r="W9" s="36">
        <f t="shared" si="2"/>
        <v>-51586.031361618116</v>
      </c>
    </row>
    <row r="10" spans="1:23" ht="14.25" customHeight="1" x14ac:dyDescent="0.25">
      <c r="A10" s="10"/>
      <c r="B10" s="43"/>
      <c r="C10" s="43"/>
      <c r="D10" s="44"/>
      <c r="E10" s="45"/>
      <c r="F10" s="43"/>
      <c r="G10" s="43"/>
      <c r="H10" s="43"/>
      <c r="I10" s="43"/>
      <c r="M10" s="30">
        <v>4</v>
      </c>
      <c r="N10" s="34">
        <f t="shared" si="3"/>
        <v>51232.875794338208</v>
      </c>
      <c r="O10" s="35">
        <f t="shared" si="0"/>
        <v>0.52011701873960381</v>
      </c>
      <c r="P10" s="36">
        <f>'Owner Occupier'!$D$38</f>
        <v>24625.648627346643</v>
      </c>
      <c r="Q10" s="37">
        <f>'Owner Occupier'!$H$30</f>
        <v>3.5000000000000003E-2</v>
      </c>
      <c r="R10" s="38">
        <f>'Owner Occupier'!$D$24</f>
        <v>374990</v>
      </c>
      <c r="S10" s="38">
        <f>'Owner Occupier'!$D$40</f>
        <v>361865.35</v>
      </c>
      <c r="T10" s="39">
        <f t="shared" si="1"/>
        <v>55319.650004368625</v>
      </c>
      <c r="U10" s="39">
        <f>S10-_xlfn.XLOOKUP($M10*12,'FHA Amotization'!$A$4:$A$363,'FHA Amotization'!$E$4:$E$363,0,0,1)</f>
        <v>26034.901290275389</v>
      </c>
      <c r="V10" s="39">
        <f>(R10+T10)*'Owner Occupier'!$H$35</f>
        <v>30121.675500305806</v>
      </c>
      <c r="W10" s="36">
        <f t="shared" si="2"/>
        <v>-68781.375148824154</v>
      </c>
    </row>
    <row r="11" spans="1:23" ht="14.25" customHeight="1" x14ac:dyDescent="0.25">
      <c r="A11" s="10"/>
      <c r="B11" s="43"/>
      <c r="C11" s="43"/>
      <c r="D11" s="44"/>
      <c r="E11" s="45"/>
      <c r="F11" s="43"/>
      <c r="G11" s="43"/>
      <c r="H11" s="43"/>
      <c r="I11" s="43"/>
      <c r="M11" s="30">
        <v>5</v>
      </c>
      <c r="N11" s="34">
        <f t="shared" si="3"/>
        <v>72468.31450023783</v>
      </c>
      <c r="O11" s="35">
        <f t="shared" si="0"/>
        <v>0.58855964037237318</v>
      </c>
      <c r="P11" s="36">
        <f>'Owner Occupier'!$D$38</f>
        <v>24625.648627346643</v>
      </c>
      <c r="Q11" s="37">
        <f>'Owner Occupier'!$H$30</f>
        <v>3.5000000000000003E-2</v>
      </c>
      <c r="R11" s="38">
        <f>'Owner Occupier'!$D$24</f>
        <v>374990</v>
      </c>
      <c r="S11" s="38">
        <f>'Owner Occupier'!$D$40</f>
        <v>361865.35</v>
      </c>
      <c r="T11" s="39">
        <f t="shared" si="1"/>
        <v>70380.487754521484</v>
      </c>
      <c r="U11" s="39">
        <f>S11-_xlfn.XLOOKUP($M11*12,'FHA Amotization'!$A$4:$A$363,'FHA Amotization'!$E$4:$E$363,0,0,1)</f>
        <v>33263.760888532852</v>
      </c>
      <c r="V11" s="39">
        <f>(R11+T11)*'Owner Occupier'!$H$35</f>
        <v>31175.934142816506</v>
      </c>
      <c r="W11" s="36">
        <f t="shared" si="2"/>
        <v>-85976.7189360302</v>
      </c>
    </row>
    <row r="12" spans="1:23" ht="14.25" customHeight="1" x14ac:dyDescent="0.25">
      <c r="A12" s="10"/>
      <c r="B12" s="43"/>
      <c r="C12" s="43"/>
      <c r="D12" s="44"/>
      <c r="E12" s="45"/>
      <c r="F12" s="43"/>
      <c r="G12" s="43"/>
      <c r="H12" s="43"/>
      <c r="I12" s="43"/>
      <c r="M12" s="30">
        <v>6</v>
      </c>
      <c r="N12" s="34">
        <f t="shared" si="3"/>
        <v>94507.265741416239</v>
      </c>
      <c r="O12" s="35">
        <f t="shared" si="0"/>
        <v>0.63962623666330864</v>
      </c>
      <c r="P12" s="36">
        <f>'Owner Occupier'!$D$38</f>
        <v>24625.648627346643</v>
      </c>
      <c r="Q12" s="37">
        <f>'Owner Occupier'!$H$30</f>
        <v>3.5000000000000003E-2</v>
      </c>
      <c r="R12" s="38">
        <f>'Owner Occupier'!$D$24</f>
        <v>374990</v>
      </c>
      <c r="S12" s="38">
        <f>'Owner Occupier'!$D$40</f>
        <v>361865.35</v>
      </c>
      <c r="T12" s="39">
        <f t="shared" si="1"/>
        <v>85968.454825929774</v>
      </c>
      <c r="U12" s="39">
        <f>S12-_xlfn.XLOOKUP($M12*12,'FHA Amotization'!$A$4:$A$363,'FHA Amotization'!$E$4:$E$363,0,0,1)</f>
        <v>40805.902753301547</v>
      </c>
      <c r="V12" s="39">
        <f>(R12+T12)*'Owner Occupier'!$H$35</f>
        <v>32267.091837815085</v>
      </c>
      <c r="W12" s="36">
        <f t="shared" si="2"/>
        <v>-103172.06272323623</v>
      </c>
    </row>
    <row r="13" spans="1:23" ht="14.25" customHeight="1" x14ac:dyDescent="0.25">
      <c r="A13" s="10"/>
      <c r="B13" s="43"/>
      <c r="C13" s="43"/>
      <c r="D13" s="44"/>
      <c r="E13" s="45"/>
      <c r="F13" s="43"/>
      <c r="G13" s="43"/>
      <c r="H13" s="43"/>
      <c r="I13" s="43"/>
      <c r="M13" s="30">
        <v>7</v>
      </c>
      <c r="N13" s="34">
        <f t="shared" si="3"/>
        <v>117380.46451527116</v>
      </c>
      <c r="O13" s="35">
        <f t="shared" si="0"/>
        <v>0.68094197402274315</v>
      </c>
      <c r="P13" s="36">
        <f>'Owner Occupier'!$D$38</f>
        <v>24625.648627346643</v>
      </c>
      <c r="Q13" s="37">
        <f>'Owner Occupier'!$H$30</f>
        <v>3.5000000000000003E-2</v>
      </c>
      <c r="R13" s="38">
        <f>'Owner Occupier'!$D$24</f>
        <v>374990</v>
      </c>
      <c r="S13" s="38">
        <f>'Owner Occupier'!$D$40</f>
        <v>361865.35</v>
      </c>
      <c r="T13" s="39">
        <f t="shared" si="1"/>
        <v>102102.00074483722</v>
      </c>
      <c r="U13" s="39">
        <f>S13-_xlfn.XLOOKUP($M13*12,'FHA Amotization'!$A$4:$A$363,'FHA Amotization'!$E$4:$E$363,0,0,1)</f>
        <v>48674.903822572553</v>
      </c>
      <c r="V13" s="39">
        <f>(R13+T13)*'Owner Occupier'!$H$35</f>
        <v>33396.440052138605</v>
      </c>
      <c r="W13" s="36">
        <f t="shared" si="2"/>
        <v>-120367.40651044226</v>
      </c>
    </row>
    <row r="14" spans="1:23" ht="14.25" customHeight="1" x14ac:dyDescent="0.25">
      <c r="A14" s="10"/>
      <c r="B14" s="43"/>
      <c r="C14" s="43"/>
      <c r="D14" s="44"/>
      <c r="E14" s="45"/>
      <c r="F14" s="43"/>
      <c r="G14" s="43"/>
      <c r="H14" s="43"/>
      <c r="I14" s="43"/>
      <c r="M14" s="30">
        <v>8</v>
      </c>
      <c r="N14" s="34">
        <f t="shared" si="3"/>
        <v>141119.83474476676</v>
      </c>
      <c r="O14" s="35">
        <f t="shared" si="0"/>
        <v>0.71632547065203989</v>
      </c>
      <c r="P14" s="36">
        <f>'Owner Occupier'!$D$38</f>
        <v>24625.648627346643</v>
      </c>
      <c r="Q14" s="37">
        <f>'Owner Occupier'!$H$30</f>
        <v>3.5000000000000003E-2</v>
      </c>
      <c r="R14" s="38">
        <f>'Owner Occupier'!$D$24</f>
        <v>374990</v>
      </c>
      <c r="S14" s="38">
        <f>'Owner Occupier'!$D$40</f>
        <v>361865.35</v>
      </c>
      <c r="T14" s="39">
        <f t="shared" si="1"/>
        <v>118800.22077090648</v>
      </c>
      <c r="U14" s="39">
        <f>S14-_xlfn.XLOOKUP($M14*12,'FHA Amotization'!$A$4:$A$363,'FHA Amotization'!$E$4:$E$363,0,0,1)</f>
        <v>56884.92942782375</v>
      </c>
      <c r="V14" s="39">
        <f>(R14+T14)*'Owner Occupier'!$H$35</f>
        <v>34565.315453963456</v>
      </c>
      <c r="W14" s="36">
        <f t="shared" si="2"/>
        <v>-137562.75029764831</v>
      </c>
    </row>
    <row r="15" spans="1:23" ht="14.25" customHeight="1" x14ac:dyDescent="0.25">
      <c r="A15" s="10"/>
      <c r="B15" s="43"/>
      <c r="C15" s="43"/>
      <c r="D15" s="44"/>
      <c r="E15" s="45"/>
      <c r="F15" s="43"/>
      <c r="G15" s="43"/>
      <c r="H15" s="43"/>
      <c r="I15" s="43"/>
      <c r="M15" s="30">
        <v>9</v>
      </c>
      <c r="N15" s="34">
        <f t="shared" si="3"/>
        <v>165758.5357966859</v>
      </c>
      <c r="O15" s="35">
        <f t="shared" si="0"/>
        <v>0.74790375543927801</v>
      </c>
      <c r="P15" s="36">
        <f>'Owner Occupier'!$D$38</f>
        <v>24625.648627346643</v>
      </c>
      <c r="Q15" s="37">
        <f>'Owner Occupier'!$H$30</f>
        <v>3.5000000000000003E-2</v>
      </c>
      <c r="R15" s="38">
        <f>'Owner Occupier'!$D$24</f>
        <v>374990</v>
      </c>
      <c r="S15" s="38">
        <f>'Owner Occupier'!$D$40</f>
        <v>361865.35</v>
      </c>
      <c r="T15" s="39">
        <f t="shared" si="1"/>
        <v>136082.8784978881</v>
      </c>
      <c r="U15" s="39">
        <f>S15-_xlfn.XLOOKUP($M15*12,'FHA Amotization'!$A$4:$A$363,'FHA Amotization'!$E$4:$E$363,0,0,1)</f>
        <v>65450.758793649962</v>
      </c>
      <c r="V15" s="39">
        <f>(R15+T15)*'Owner Occupier'!$H$35</f>
        <v>35775.10149485217</v>
      </c>
      <c r="W15" s="36">
        <f t="shared" si="2"/>
        <v>-154758.09408485435</v>
      </c>
    </row>
    <row r="16" spans="1:23" ht="14.25" customHeight="1" x14ac:dyDescent="0.25">
      <c r="A16" s="10"/>
      <c r="B16" s="43"/>
      <c r="C16" s="43"/>
      <c r="D16" s="44"/>
      <c r="E16" s="45"/>
      <c r="F16" s="43"/>
      <c r="G16" s="43"/>
      <c r="H16" s="43"/>
      <c r="I16" s="43"/>
      <c r="M16" s="30">
        <v>10</v>
      </c>
      <c r="N16" s="34">
        <f t="shared" si="3"/>
        <v>191331.01084063109</v>
      </c>
      <c r="O16" s="35">
        <f t="shared" si="0"/>
        <v>0.77695825899245174</v>
      </c>
      <c r="P16" s="36">
        <f>'Owner Occupier'!$D$38</f>
        <v>24625.648627346643</v>
      </c>
      <c r="Q16" s="37">
        <f>'Owner Occupier'!$H$30</f>
        <v>3.5000000000000003E-2</v>
      </c>
      <c r="R16" s="38">
        <f>'Owner Occupier'!$D$24</f>
        <v>374990</v>
      </c>
      <c r="S16" s="38">
        <f>'Owner Occupier'!$D$40</f>
        <v>361865.35</v>
      </c>
      <c r="T16" s="39">
        <f t="shared" si="1"/>
        <v>153970.42924531421</v>
      </c>
      <c r="U16" s="39">
        <f>S16-_xlfn.XLOOKUP($M16*12,'FHA Amotization'!$A$4:$A$363,'FHA Amotization'!$E$4:$E$363,0,0,1)</f>
        <v>74387.811642488872</v>
      </c>
      <c r="V16" s="39">
        <f>(R16+T16)*'Owner Occupier'!$H$35</f>
        <v>37027.230047172001</v>
      </c>
      <c r="W16" s="36">
        <f t="shared" si="2"/>
        <v>-171953.4378720604</v>
      </c>
    </row>
    <row r="17" spans="1:26" ht="14.25" customHeight="1" x14ac:dyDescent="0.25">
      <c r="A17" s="10"/>
      <c r="B17" s="43"/>
      <c r="C17" s="43"/>
      <c r="D17" s="44"/>
      <c r="E17" s="45"/>
      <c r="F17" s="43"/>
      <c r="G17" s="43"/>
      <c r="H17" s="43"/>
      <c r="I17" s="43"/>
      <c r="M17" s="30">
        <v>11</v>
      </c>
      <c r="N17" s="34">
        <f t="shared" si="3"/>
        <v>217873.037122412</v>
      </c>
      <c r="O17" s="35">
        <f t="shared" si="0"/>
        <v>0.80430936208542869</v>
      </c>
      <c r="P17" s="36">
        <f>'Owner Occupier'!$D$38</f>
        <v>24625.648627346643</v>
      </c>
      <c r="Q17" s="37">
        <f>'Owner Occupier'!$H$30</f>
        <v>3.5000000000000003E-2</v>
      </c>
      <c r="R17" s="38">
        <f>'Owner Occupier'!$D$24</f>
        <v>374990</v>
      </c>
      <c r="S17" s="38">
        <f>'Owner Occupier'!$D$40</f>
        <v>361865.35</v>
      </c>
      <c r="T17" s="39">
        <f t="shared" si="1"/>
        <v>172484.04426890018</v>
      </c>
      <c r="U17" s="39">
        <f>S17-_xlfn.XLOOKUP($M17*12,'FHA Amotization'!$A$4:$A$363,'FHA Amotization'!$E$4:$E$363,0,0,1)</f>
        <v>83712.17595233483</v>
      </c>
      <c r="V17" s="39">
        <f>(R17+T17)*'Owner Occupier'!$H$35</f>
        <v>38323.183098823014</v>
      </c>
      <c r="W17" s="36">
        <f t="shared" si="2"/>
        <v>-189148.78165926642</v>
      </c>
    </row>
    <row r="18" spans="1:26" ht="14.25" customHeight="1" x14ac:dyDescent="0.25">
      <c r="A18" s="10"/>
      <c r="B18" s="43"/>
      <c r="C18" s="43"/>
      <c r="D18" s="44"/>
      <c r="E18" s="45"/>
      <c r="F18" s="43"/>
      <c r="G18" s="43"/>
      <c r="H18" s="43"/>
      <c r="I18" s="43"/>
      <c r="M18" s="30">
        <v>12</v>
      </c>
      <c r="N18" s="34">
        <f t="shared" si="3"/>
        <v>245421.77822843811</v>
      </c>
      <c r="O18" s="35">
        <f t="shared" si="0"/>
        <v>0.83050867661850003</v>
      </c>
      <c r="P18" s="36">
        <f>'Owner Occupier'!$D$38</f>
        <v>24625.648627346643</v>
      </c>
      <c r="Q18" s="37">
        <f>'Owner Occupier'!$H$30</f>
        <v>3.5000000000000003E-2</v>
      </c>
      <c r="R18" s="38">
        <f>'Owner Occupier'!$D$24</f>
        <v>374990</v>
      </c>
      <c r="S18" s="38">
        <f>'Owner Occupier'!$D$40</f>
        <v>361865.35</v>
      </c>
      <c r="T18" s="39">
        <f t="shared" si="1"/>
        <v>191645.6358183116</v>
      </c>
      <c r="U18" s="39">
        <f>S18-_xlfn.XLOOKUP($M18*12,'FHA Amotization'!$A$4:$A$363,'FHA Amotization'!$E$4:$E$363,0,0,1)</f>
        <v>93440.636917408323</v>
      </c>
      <c r="V18" s="39">
        <f>(R18+T18)*'Owner Occupier'!$H$35</f>
        <v>39664.494507281815</v>
      </c>
      <c r="W18" s="36">
        <f t="shared" si="2"/>
        <v>-206344.12544647246</v>
      </c>
    </row>
    <row r="19" spans="1:26" ht="14.25" customHeight="1" x14ac:dyDescent="0.25">
      <c r="A19" s="10"/>
      <c r="B19" s="43"/>
      <c r="C19" s="43"/>
      <c r="D19" s="44"/>
      <c r="E19" s="45"/>
      <c r="F19" s="43"/>
      <c r="G19" s="43"/>
      <c r="H19" s="43"/>
      <c r="I19" s="43"/>
      <c r="M19" s="30">
        <v>13</v>
      </c>
      <c r="N19" s="34">
        <f t="shared" si="3"/>
        <v>274015.83842083107</v>
      </c>
      <c r="O19" s="35">
        <f t="shared" si="0"/>
        <v>0.85594258798851897</v>
      </c>
      <c r="P19" s="36">
        <f>'Owner Occupier'!$D$38</f>
        <v>24625.648627346643</v>
      </c>
      <c r="Q19" s="37">
        <f>'Owner Occupier'!$H$30</f>
        <v>3.5000000000000003E-2</v>
      </c>
      <c r="R19" s="38">
        <f>'Owner Occupier'!$D$24</f>
        <v>374990</v>
      </c>
      <c r="S19" s="38">
        <f>'Owner Occupier'!$D$40</f>
        <v>361865.35</v>
      </c>
      <c r="T19" s="39">
        <f t="shared" si="1"/>
        <v>211477.88307195238</v>
      </c>
      <c r="U19" s="39">
        <f>S19-_xlfn.XLOOKUP($M19*12,'FHA Amotization'!$A$4:$A$363,'FHA Amotization'!$E$4:$E$363,0,0,1)</f>
        <v>103590.70716391536</v>
      </c>
      <c r="V19" s="39">
        <f>(R19+T19)*'Owner Occupier'!$H$35</f>
        <v>41052.751815036674</v>
      </c>
      <c r="W19" s="36">
        <f t="shared" si="2"/>
        <v>-223539.46923367851</v>
      </c>
    </row>
    <row r="20" spans="1:26" ht="14.25" customHeight="1" x14ac:dyDescent="0.25">
      <c r="A20" s="10"/>
      <c r="B20" s="43"/>
      <c r="C20" s="43"/>
      <c r="D20" s="44"/>
      <c r="E20" s="45"/>
      <c r="F20" s="43"/>
      <c r="G20" s="43"/>
      <c r="H20" s="43"/>
      <c r="I20" s="43"/>
      <c r="M20" s="30">
        <v>14</v>
      </c>
      <c r="N20" s="34">
        <f t="shared" si="3"/>
        <v>303695.31912619603</v>
      </c>
      <c r="O20" s="35">
        <f t="shared" si="0"/>
        <v>0.88089142840440204</v>
      </c>
      <c r="P20" s="36">
        <f>'Owner Occupier'!$D$38</f>
        <v>24625.648627346643</v>
      </c>
      <c r="Q20" s="37">
        <f>'Owner Occupier'!$H$30</f>
        <v>3.5000000000000003E-2</v>
      </c>
      <c r="R20" s="38">
        <f>'Owner Occupier'!$D$24</f>
        <v>374990</v>
      </c>
      <c r="S20" s="38">
        <f>'Owner Occupier'!$D$40</f>
        <v>361865.35</v>
      </c>
      <c r="T20" s="39">
        <f t="shared" si="1"/>
        <v>232004.25897947082</v>
      </c>
      <c r="U20" s="39">
        <f>S20-_xlfn.XLOOKUP($M20*12,'FHA Amotization'!$A$4:$A$363,'FHA Amotization'!$E$4:$E$363,0,0,1)</f>
        <v>114180.65827528818</v>
      </c>
      <c r="V20" s="39">
        <f>(R20+T20)*'Owner Occupier'!$H$35</f>
        <v>42489.59812856296</v>
      </c>
      <c r="W20" s="36">
        <f t="shared" si="2"/>
        <v>-240734.81302088453</v>
      </c>
    </row>
    <row r="21" spans="1:26" ht="14.25" customHeight="1" x14ac:dyDescent="0.25">
      <c r="A21" s="10"/>
      <c r="B21" s="43"/>
      <c r="C21" s="43"/>
      <c r="D21" s="44"/>
      <c r="E21" s="45"/>
      <c r="F21" s="43"/>
      <c r="G21" s="43"/>
      <c r="H21" s="43"/>
      <c r="I21" s="43"/>
      <c r="M21" s="40">
        <v>15</v>
      </c>
      <c r="N21" s="34">
        <f t="shared" si="3"/>
        <v>334501.87766434794</v>
      </c>
      <c r="O21" s="35">
        <f t="shared" si="0"/>
        <v>0.90556498694044685</v>
      </c>
      <c r="P21" s="36">
        <f>'Owner Occupier'!$D$38</f>
        <v>24625.648627346643</v>
      </c>
      <c r="Q21" s="37">
        <f>'Owner Occupier'!$H$30</f>
        <v>3.5000000000000003E-2</v>
      </c>
      <c r="R21" s="38">
        <f>'Owner Occupier'!$D$24</f>
        <v>374990</v>
      </c>
      <c r="S21" s="38">
        <f>'Owner Occupier'!$D$40</f>
        <v>361865.35</v>
      </c>
      <c r="T21" s="39">
        <f t="shared" si="1"/>
        <v>253249.05804375221</v>
      </c>
      <c r="U21" s="39">
        <f>S21-_xlfn.XLOOKUP($M21*12,'FHA Amotization'!$A$4:$A$363,'FHA Amotization'!$E$4:$E$363,0,0,1)</f>
        <v>125229.55368365839</v>
      </c>
      <c r="V21" s="39">
        <f>(R21+T21)*'Owner Occupier'!$H$35</f>
        <v>43976.734063062657</v>
      </c>
      <c r="W21" s="36">
        <f t="shared" si="2"/>
        <v>-257930.15680809057</v>
      </c>
      <c r="X21" s="85"/>
      <c r="Y21" s="86"/>
      <c r="Z21" s="85"/>
    </row>
    <row r="22" spans="1:26" ht="14.25" customHeight="1" x14ac:dyDescent="0.25">
      <c r="A22" s="10"/>
      <c r="B22" s="43"/>
      <c r="C22" s="43"/>
      <c r="D22" s="44"/>
      <c r="E22" s="45"/>
      <c r="F22" s="43"/>
      <c r="G22" s="43"/>
      <c r="H22" s="43"/>
      <c r="I22" s="43"/>
      <c r="M22" s="30">
        <v>16</v>
      </c>
      <c r="N22" s="34">
        <f t="shared" si="3"/>
        <v>366478.7883067847</v>
      </c>
      <c r="O22" s="35">
        <f t="shared" si="0"/>
        <v>0.9301247092325623</v>
      </c>
      <c r="P22" s="36">
        <f>'Owner Occupier'!$D$38</f>
        <v>24625.648627346643</v>
      </c>
      <c r="Q22" s="37">
        <f>'Owner Occupier'!$H$30</f>
        <v>3.5000000000000003E-2</v>
      </c>
      <c r="R22" s="38">
        <f>'Owner Occupier'!$D$24</f>
        <v>374990</v>
      </c>
      <c r="S22" s="38">
        <f>'Owner Occupier'!$D$40</f>
        <v>361865.35</v>
      </c>
      <c r="T22" s="39">
        <f t="shared" si="1"/>
        <v>275237.42507528339</v>
      </c>
      <c r="U22" s="39">
        <f>S22-_xlfn.XLOOKUP($M22*12,'FHA Amotization'!$A$4:$A$363,'FHA Amotization'!$E$4:$E$363,0,0,1)</f>
        <v>136757.28298677114</v>
      </c>
      <c r="V22" s="39">
        <f>(R22+T22)*'Owner Occupier'!$H$35</f>
        <v>45515.919755269839</v>
      </c>
      <c r="W22" s="36">
        <f t="shared" si="2"/>
        <v>-275125.50059529662</v>
      </c>
    </row>
    <row r="23" spans="1:26" ht="18" x14ac:dyDescent="0.25">
      <c r="A23" s="10"/>
      <c r="B23" s="46" t="s">
        <v>0</v>
      </c>
      <c r="C23" s="46"/>
      <c r="D23" s="47"/>
      <c r="E23" s="48"/>
      <c r="F23" s="49"/>
      <c r="G23" s="46" t="s">
        <v>23</v>
      </c>
      <c r="H23" s="48" t="s">
        <v>11</v>
      </c>
      <c r="I23" s="48" t="s">
        <v>12</v>
      </c>
      <c r="M23" s="30">
        <v>17</v>
      </c>
      <c r="N23" s="34">
        <f t="shared" si="3"/>
        <v>399671.00575833028</v>
      </c>
      <c r="O23" s="35">
        <f t="shared" si="0"/>
        <v>0.95469806777584476</v>
      </c>
      <c r="P23" s="36">
        <f>'Owner Occupier'!$D$38</f>
        <v>24625.648627346643</v>
      </c>
      <c r="Q23" s="37">
        <f>'Owner Occupier'!$H$30</f>
        <v>3.5000000000000003E-2</v>
      </c>
      <c r="R23" s="38">
        <f>'Owner Occupier'!$D$24</f>
        <v>374990</v>
      </c>
      <c r="S23" s="38">
        <f>'Owner Occupier'!$D$40</f>
        <v>361865.35</v>
      </c>
      <c r="T23" s="39">
        <f t="shared" si="1"/>
        <v>297995.38495291828</v>
      </c>
      <c r="U23" s="39">
        <f>S23-_xlfn.XLOOKUP($M23*12,'FHA Amotization'!$A$4:$A$363,'FHA Amotization'!$E$4:$E$363,0,0,1)</f>
        <v>148784.59775211627</v>
      </c>
      <c r="V23" s="39">
        <f>(R23+T23)*'Owner Occupier'!$H$35</f>
        <v>47108.976946704286</v>
      </c>
      <c r="W23" s="36">
        <f t="shared" si="2"/>
        <v>-292320.84438250266</v>
      </c>
    </row>
    <row r="24" spans="1:26" x14ac:dyDescent="0.25">
      <c r="A24" s="10"/>
      <c r="B24" s="56" t="s">
        <v>84</v>
      </c>
      <c r="C24" s="56"/>
      <c r="D24" s="61">
        <f>Summary!E8</f>
        <v>374990</v>
      </c>
      <c r="E24" s="45"/>
      <c r="F24" s="43"/>
      <c r="G24" s="44" t="s">
        <v>135</v>
      </c>
      <c r="H24" s="50">
        <f>Summary!E11</f>
        <v>1375</v>
      </c>
      <c r="I24" s="53">
        <f t="shared" ref="I24" si="4">H24*12</f>
        <v>16500</v>
      </c>
      <c r="M24" s="30">
        <v>18</v>
      </c>
      <c r="N24" s="34">
        <f t="shared" si="3"/>
        <v>434125.23115915997</v>
      </c>
      <c r="O24" s="35">
        <f t="shared" si="0"/>
        <v>0.97938814780895278</v>
      </c>
      <c r="P24" s="36">
        <f>'Owner Occupier'!$D$38</f>
        <v>24625.648627346643</v>
      </c>
      <c r="Q24" s="37">
        <f>'Owner Occupier'!$H$30</f>
        <v>3.5000000000000003E-2</v>
      </c>
      <c r="R24" s="38">
        <f>'Owner Occupier'!$D$24</f>
        <v>374990</v>
      </c>
      <c r="S24" s="38">
        <f>'Owner Occupier'!$D$40</f>
        <v>361865.35</v>
      </c>
      <c r="T24" s="39">
        <f t="shared" si="1"/>
        <v>321549.87342627044</v>
      </c>
      <c r="U24" s="39">
        <f>S24-_xlfn.XLOOKUP($M24*12,'FHA Amotization'!$A$4:$A$363,'FHA Amotization'!$E$4:$E$363,0,0,1)</f>
        <v>161333.14887272843</v>
      </c>
      <c r="V24" s="39">
        <f>(R24+T24)*'Owner Occupier'!$H$35</f>
        <v>48757.791139838933</v>
      </c>
      <c r="W24" s="36">
        <f t="shared" si="2"/>
        <v>-309516.18816970871</v>
      </c>
    </row>
    <row r="25" spans="1:26" x14ac:dyDescent="0.25">
      <c r="A25" s="10"/>
      <c r="B25" s="56" t="s">
        <v>89</v>
      </c>
      <c r="C25" s="56"/>
      <c r="D25" s="61">
        <f>I24</f>
        <v>16500</v>
      </c>
      <c r="E25" s="45"/>
      <c r="F25" s="43"/>
      <c r="G25" s="44" t="s">
        <v>116</v>
      </c>
      <c r="H25" s="50">
        <f>D56</f>
        <v>2807.9453156005038</v>
      </c>
      <c r="I25" s="53">
        <f>E56</f>
        <v>33695.343787206039</v>
      </c>
      <c r="M25" s="30">
        <v>19</v>
      </c>
      <c r="N25" s="34">
        <f t="shared" si="3"/>
        <v>469889.98070835881</v>
      </c>
      <c r="O25" s="35">
        <f t="shared" si="0"/>
        <v>1.0042802116800171</v>
      </c>
      <c r="P25" s="36">
        <f>'Owner Occupier'!$D$38</f>
        <v>24625.648627346643</v>
      </c>
      <c r="Q25" s="37">
        <f>'Owner Occupier'!$H$30</f>
        <v>3.5000000000000003E-2</v>
      </c>
      <c r="R25" s="38">
        <f>'Owner Occupier'!$D$24</f>
        <v>374990</v>
      </c>
      <c r="S25" s="38">
        <f>'Owner Occupier'!$D$40</f>
        <v>361865.35</v>
      </c>
      <c r="T25" s="39">
        <f t="shared" si="1"/>
        <v>345928.76899618981</v>
      </c>
      <c r="U25" s="39">
        <f>S25-_xlfn.XLOOKUP($M25*12,'FHA Amotization'!$A$4:$A$363,'FHA Amotization'!$E$4:$E$363,0,0,1)</f>
        <v>174425.52554190229</v>
      </c>
      <c r="V25" s="39">
        <f>(R25+T25)*'Owner Occupier'!$H$35</f>
        <v>50464.313829733292</v>
      </c>
      <c r="W25" s="36">
        <f t="shared" si="2"/>
        <v>-326711.53195691475</v>
      </c>
    </row>
    <row r="26" spans="1:26" x14ac:dyDescent="0.25">
      <c r="A26" s="10"/>
      <c r="B26" s="56" t="s">
        <v>77</v>
      </c>
      <c r="C26" s="56"/>
      <c r="D26" s="61">
        <f>D38</f>
        <v>24625.648627346643</v>
      </c>
      <c r="E26" s="45"/>
      <c r="F26" s="43"/>
      <c r="G26" s="56" t="s">
        <v>131</v>
      </c>
      <c r="H26" s="58">
        <f>H24-H25</f>
        <v>-1432.9453156005038</v>
      </c>
      <c r="I26" s="59">
        <f>I24-I25</f>
        <v>-17195.343787206039</v>
      </c>
      <c r="M26" s="30">
        <v>20</v>
      </c>
      <c r="N26" s="34">
        <f t="shared" si="3"/>
        <v>507015.65701426577</v>
      </c>
      <c r="O26" s="35">
        <f t="shared" si="0"/>
        <v>1.0294462994392517</v>
      </c>
      <c r="P26" s="36">
        <f>'Owner Occupier'!$D$38</f>
        <v>24625.648627346643</v>
      </c>
      <c r="Q26" s="37">
        <f>'Owner Occupier'!$H$30</f>
        <v>3.5000000000000003E-2</v>
      </c>
      <c r="R26" s="38">
        <f>'Owner Occupier'!$D$24</f>
        <v>374990</v>
      </c>
      <c r="S26" s="38">
        <f>'Owner Occupier'!$D$40</f>
        <v>361865.35</v>
      </c>
      <c r="T26" s="39">
        <f t="shared" si="1"/>
        <v>371160.92591105634</v>
      </c>
      <c r="U26" s="39">
        <f>S26-_xlfn.XLOOKUP($M26*12,'FHA Amotization'!$A$4:$A$363,'FHA Amotization'!$E$4:$E$363,0,0,1)</f>
        <v>188085.29591698345</v>
      </c>
      <c r="V26" s="39">
        <f>(R26+T26)*'Owner Occupier'!$H$35</f>
        <v>52230.564813773948</v>
      </c>
      <c r="W26" s="36">
        <f t="shared" si="2"/>
        <v>-343906.8757441208</v>
      </c>
    </row>
    <row r="27" spans="1:26" x14ac:dyDescent="0.25">
      <c r="A27" s="10"/>
      <c r="B27" s="56" t="s">
        <v>134</v>
      </c>
      <c r="C27" s="56"/>
      <c r="D27" s="61">
        <f>H26</f>
        <v>-1432.9453156005038</v>
      </c>
      <c r="E27" s="45"/>
      <c r="F27" s="43"/>
      <c r="G27" s="56" t="s">
        <v>132</v>
      </c>
      <c r="H27" s="58">
        <f>H24-H25+D54+D55</f>
        <v>-1350.4453156005038</v>
      </c>
      <c r="I27" s="58">
        <f>I24-I25+E54+E55</f>
        <v>-16205.343787206039</v>
      </c>
      <c r="M27" s="30">
        <v>21</v>
      </c>
      <c r="N27" s="34">
        <f t="shared" si="3"/>
        <v>545554.62328112149</v>
      </c>
      <c r="O27" s="35">
        <f t="shared" si="0"/>
        <v>1.0549485204611426</v>
      </c>
      <c r="P27" s="36">
        <f>'Owner Occupier'!$D$38</f>
        <v>24625.648627346643</v>
      </c>
      <c r="Q27" s="37">
        <f>'Owner Occupier'!$H$30</f>
        <v>3.5000000000000003E-2</v>
      </c>
      <c r="R27" s="38">
        <f>'Owner Occupier'!$D$24</f>
        <v>374990</v>
      </c>
      <c r="S27" s="38">
        <f>'Owner Occupier'!$D$40</f>
        <v>361865.35</v>
      </c>
      <c r="T27" s="39">
        <f t="shared" si="1"/>
        <v>397276.20831794315</v>
      </c>
      <c r="U27" s="39">
        <f>S27-_xlfn.XLOOKUP($M27*12,'FHA Amotization'!$A$4:$A$363,'FHA Amotization'!$E$4:$E$363,0,0,1)</f>
        <v>202337.04954543436</v>
      </c>
      <c r="V27" s="39">
        <f>(R27+T27)*'Owner Occupier'!$H$35</f>
        <v>54058.634582256025</v>
      </c>
      <c r="W27" s="36">
        <f t="shared" si="2"/>
        <v>-361102.21953132679</v>
      </c>
    </row>
    <row r="28" spans="1:26" x14ac:dyDescent="0.25">
      <c r="A28" s="10"/>
      <c r="B28" s="56" t="s">
        <v>133</v>
      </c>
      <c r="C28" s="56"/>
      <c r="D28" s="61">
        <f>H27</f>
        <v>-1350.4453156005038</v>
      </c>
      <c r="E28" s="45"/>
      <c r="F28" s="43"/>
      <c r="G28" s="10"/>
      <c r="H28" s="10"/>
      <c r="I28" s="10"/>
      <c r="M28" s="30">
        <v>22</v>
      </c>
      <c r="N28" s="34">
        <f t="shared" si="3"/>
        <v>585561.28044598585</v>
      </c>
      <c r="O28" s="35">
        <f t="shared" si="0"/>
        <v>1.0808414527971668</v>
      </c>
      <c r="P28" s="36">
        <f>'Owner Occupier'!$D$38</f>
        <v>24625.648627346643</v>
      </c>
      <c r="Q28" s="37">
        <f>'Owner Occupier'!$H$30</f>
        <v>3.5000000000000003E-2</v>
      </c>
      <c r="R28" s="38">
        <f>'Owner Occupier'!$D$24</f>
        <v>374990</v>
      </c>
      <c r="S28" s="38">
        <f>'Owner Occupier'!$D$40</f>
        <v>361865.35</v>
      </c>
      <c r="T28" s="39">
        <f t="shared" si="1"/>
        <v>424305.52560907125</v>
      </c>
      <c r="U28" s="39">
        <f>S28-_xlfn.XLOOKUP($M28*12,'FHA Amotization'!$A$4:$A$363,'FHA Amotization'!$E$4:$E$363,0,0,1)</f>
        <v>217206.44162954963</v>
      </c>
      <c r="V28" s="39">
        <f>(R28+T28)*'Owner Occupier'!$H$35</f>
        <v>55950.686792634995</v>
      </c>
      <c r="W28" s="36">
        <f t="shared" si="2"/>
        <v>-378297.56331853283</v>
      </c>
    </row>
    <row r="29" spans="1:26" ht="18" x14ac:dyDescent="0.25">
      <c r="A29" s="10"/>
      <c r="B29" s="56" t="s">
        <v>114</v>
      </c>
      <c r="C29" s="56"/>
      <c r="D29" s="73">
        <f>H34</f>
        <v>59447.90262167059</v>
      </c>
      <c r="E29" s="45"/>
      <c r="F29" s="43"/>
      <c r="G29" s="46" t="s">
        <v>25</v>
      </c>
      <c r="H29" s="48"/>
      <c r="I29" s="48"/>
      <c r="M29" s="30">
        <v>23</v>
      </c>
      <c r="N29" s="34">
        <f t="shared" si="3"/>
        <v>627092.14738451433</v>
      </c>
      <c r="O29" s="35">
        <f t="shared" si="0"/>
        <v>1.1071739220286876</v>
      </c>
      <c r="P29" s="36">
        <f>'Owner Occupier'!$D$38</f>
        <v>24625.648627346643</v>
      </c>
      <c r="Q29" s="37">
        <f>'Owner Occupier'!$H$30</f>
        <v>3.5000000000000003E-2</v>
      </c>
      <c r="R29" s="38">
        <f>'Owner Occupier'!$D$24</f>
        <v>374990</v>
      </c>
      <c r="S29" s="38">
        <f>'Owner Occupier'!$D$40</f>
        <v>361865.35</v>
      </c>
      <c r="T29" s="39">
        <f t="shared" si="1"/>
        <v>452280.8690053887</v>
      </c>
      <c r="U29" s="39">
        <f>S29-_xlfn.XLOOKUP($M29*12,'FHA Amotization'!$A$4:$A$363,'FHA Amotization'!$E$4:$E$363,0,0,1)</f>
        <v>232720.23920950276</v>
      </c>
      <c r="V29" s="39">
        <f>(R29+T29)*'Owner Occupier'!$H$35</f>
        <v>57908.960830377211</v>
      </c>
      <c r="W29" s="36">
        <f t="shared" si="2"/>
        <v>-395492.90710573888</v>
      </c>
    </row>
    <row r="30" spans="1:26" x14ac:dyDescent="0.25">
      <c r="A30" s="10"/>
      <c r="B30" s="56" t="s">
        <v>76</v>
      </c>
      <c r="C30" s="56"/>
      <c r="D30" s="77">
        <f>H32</f>
        <v>253249.05804375221</v>
      </c>
      <c r="E30" s="45"/>
      <c r="F30" s="43"/>
      <c r="G30" s="44" t="s">
        <v>79</v>
      </c>
      <c r="H30" s="62">
        <f>Summary!E12</f>
        <v>3.5000000000000003E-2</v>
      </c>
      <c r="I30" s="45"/>
      <c r="M30" s="30">
        <v>24</v>
      </c>
      <c r="N30" s="34">
        <f t="shared" si="3"/>
        <v>670205.94430899748</v>
      </c>
      <c r="O30" s="35">
        <f t="shared" si="0"/>
        <v>1.1339903408079466</v>
      </c>
      <c r="P30" s="36">
        <f>'Owner Occupier'!$D$38</f>
        <v>24625.648627346643</v>
      </c>
      <c r="Q30" s="37">
        <f>'Owner Occupier'!$H$30</f>
        <v>3.5000000000000003E-2</v>
      </c>
      <c r="R30" s="38">
        <f>'Owner Occupier'!$D$24</f>
        <v>374990</v>
      </c>
      <c r="S30" s="38">
        <f>'Owner Occupier'!$D$40</f>
        <v>361865.35</v>
      </c>
      <c r="T30" s="39">
        <f t="shared" si="1"/>
        <v>481235.34942057717</v>
      </c>
      <c r="U30" s="39">
        <f>S30-_xlfn.XLOOKUP($M30*12,'FHA Amotization'!$A$4:$A$363,'FHA Amotization'!$E$4:$E$363,0,0,1)</f>
        <v>248906.36934786066</v>
      </c>
      <c r="V30" s="39">
        <f>(R30+T30)*'Owner Occupier'!$H$35</f>
        <v>59935.774459440407</v>
      </c>
      <c r="W30" s="36">
        <f t="shared" si="2"/>
        <v>-412688.25089294492</v>
      </c>
    </row>
    <row r="31" spans="1:26" x14ac:dyDescent="0.25">
      <c r="A31" s="10"/>
      <c r="B31" s="56" t="s">
        <v>3</v>
      </c>
      <c r="C31" s="56"/>
      <c r="D31" s="61">
        <f>H37</f>
        <v>268720.22660236014</v>
      </c>
      <c r="E31" s="45"/>
      <c r="F31" s="43"/>
      <c r="G31" s="44" t="s">
        <v>27</v>
      </c>
      <c r="H31" s="79">
        <f>Summary!E13</f>
        <v>15</v>
      </c>
      <c r="I31" s="45"/>
      <c r="M31" s="30">
        <v>25</v>
      </c>
      <c r="N31" s="34">
        <f t="shared" si="3"/>
        <v>714963.67948708171</v>
      </c>
      <c r="O31" s="35">
        <f t="shared" si="0"/>
        <v>1.161331732303073</v>
      </c>
      <c r="P31" s="36">
        <f>'Owner Occupier'!$D$38</f>
        <v>24625.648627346643</v>
      </c>
      <c r="Q31" s="37">
        <f>'Owner Occupier'!$H$30</f>
        <v>3.5000000000000003E-2</v>
      </c>
      <c r="R31" s="38">
        <f>'Owner Occupier'!$D$24</f>
        <v>374990</v>
      </c>
      <c r="S31" s="38">
        <f>'Owner Occupier'!$D$40</f>
        <v>361865.35</v>
      </c>
      <c r="T31" s="39">
        <f t="shared" si="1"/>
        <v>511203.2366502973</v>
      </c>
      <c r="U31" s="39">
        <f>S31-_xlfn.XLOOKUP($M31*12,'FHA Amotization'!$A$4:$A$363,'FHA Amotization'!$E$4:$E$363,0,0,1)</f>
        <v>265793.96940230526</v>
      </c>
      <c r="V31" s="39">
        <f>(R31+T31)*'Owner Occupier'!$H$35</f>
        <v>62033.52656552082</v>
      </c>
      <c r="W31" s="36">
        <f t="shared" si="2"/>
        <v>-429883.59468015097</v>
      </c>
    </row>
    <row r="32" spans="1:26" x14ac:dyDescent="0.25">
      <c r="A32" s="10"/>
      <c r="B32" s="56" t="s">
        <v>4</v>
      </c>
      <c r="C32" s="19"/>
      <c r="D32" s="89">
        <f>H38</f>
        <v>0.72748060546906868</v>
      </c>
      <c r="E32" s="16"/>
      <c r="F32" s="43"/>
      <c r="G32" s="56" t="str">
        <f>CONCATENATE("Appreciation After ",H31," Years")</f>
        <v>Appreciation After 15 Years</v>
      </c>
      <c r="H32" s="58">
        <f>$D$34*(1+H30)^H31-$D$34</f>
        <v>253249.05804375221</v>
      </c>
      <c r="I32" s="45"/>
      <c r="M32" s="30">
        <v>26</v>
      </c>
      <c r="N32" s="34">
        <f t="shared" si="3"/>
        <v>761428.73941480322</v>
      </c>
      <c r="O32" s="35">
        <f t="shared" si="0"/>
        <v>1.1892365228585928</v>
      </c>
      <c r="P32" s="36">
        <f>'Owner Occupier'!$D$38</f>
        <v>24625.648627346643</v>
      </c>
      <c r="Q32" s="37">
        <f>'Owner Occupier'!$H$30</f>
        <v>3.5000000000000003E-2</v>
      </c>
      <c r="R32" s="38">
        <f>'Owner Occupier'!$D$24</f>
        <v>374990</v>
      </c>
      <c r="S32" s="38">
        <f>'Owner Occupier'!$D$40</f>
        <v>361865.35</v>
      </c>
      <c r="T32" s="39">
        <f t="shared" si="1"/>
        <v>542219.99993305758</v>
      </c>
      <c r="U32" s="39">
        <f>S32-_xlfn.XLOOKUP($M32*12,'FHA Amotization'!$A$4:$A$363,'FHA Amotization'!$E$4:$E$363,0,0,1)</f>
        <v>283413.43947705958</v>
      </c>
      <c r="V32" s="39">
        <f>(R32+T32)*'Owner Occupier'!$H$35</f>
        <v>64204.69999531404</v>
      </c>
      <c r="W32" s="36">
        <f t="shared" si="2"/>
        <v>-447078.93846735702</v>
      </c>
    </row>
    <row r="33" spans="1:23" ht="18" x14ac:dyDescent="0.25">
      <c r="A33" s="10"/>
      <c r="B33" s="46" t="s">
        <v>6</v>
      </c>
      <c r="C33" s="46"/>
      <c r="D33" s="47"/>
      <c r="E33" s="48"/>
      <c r="F33" s="43"/>
      <c r="G33" s="56"/>
      <c r="H33" s="64"/>
      <c r="I33" s="45"/>
      <c r="M33" s="30">
        <v>27</v>
      </c>
      <c r="N33" s="34">
        <f t="shared" si="3"/>
        <v>809666.98258300405</v>
      </c>
      <c r="O33" s="35">
        <f>N33/P33/M33</f>
        <v>1.217741163913612</v>
      </c>
      <c r="P33" s="36">
        <f>'Owner Occupier'!$D$38</f>
        <v>24625.648627346643</v>
      </c>
      <c r="Q33" s="37">
        <f>'Owner Occupier'!$H$30</f>
        <v>3.5000000000000003E-2</v>
      </c>
      <c r="R33" s="38">
        <f>'Owner Occupier'!$D$24</f>
        <v>374990</v>
      </c>
      <c r="S33" s="38">
        <f>'Owner Occupier'!$D$40</f>
        <v>361865.35</v>
      </c>
      <c r="T33" s="39">
        <f t="shared" si="1"/>
        <v>574322.3499307147</v>
      </c>
      <c r="U33" s="39">
        <f>S33-_xlfn.XLOOKUP($M33*12,'FHA Amotization'!$A$4:$A$363,'FHA Amotization'!$E$4:$E$363,0,0,1)</f>
        <v>301796.4971474394</v>
      </c>
      <c r="V33" s="39">
        <f>(R33+T33)*'Owner Occupier'!$H$35</f>
        <v>66451.864495150032</v>
      </c>
      <c r="W33" s="36">
        <f t="shared" si="2"/>
        <v>-464274.28225456306</v>
      </c>
    </row>
    <row r="34" spans="1:23" x14ac:dyDescent="0.25">
      <c r="A34" s="10"/>
      <c r="B34" s="44" t="s">
        <v>84</v>
      </c>
      <c r="C34" s="44"/>
      <c r="D34" s="50">
        <f>Summary!E8</f>
        <v>374990</v>
      </c>
      <c r="E34" s="45"/>
      <c r="F34" s="43"/>
      <c r="G34" s="56" t="s">
        <v>114</v>
      </c>
      <c r="H34" s="58">
        <f>_xlfn.XLOOKUP($H$31*12,'FHA Amotization'!A4:A363,'FHA Amotization'!G4:G363,0,0,1)</f>
        <v>59447.90262167059</v>
      </c>
      <c r="I34" s="71"/>
      <c r="M34" s="30">
        <v>28</v>
      </c>
      <c r="N34" s="34">
        <f t="shared" si="3"/>
        <v>859746.83698185091</v>
      </c>
      <c r="O34" s="35">
        <f>N34/P34/M34</f>
        <v>1.2468806260731442</v>
      </c>
      <c r="P34" s="36">
        <f>'Owner Occupier'!$D$38</f>
        <v>24625.648627346643</v>
      </c>
      <c r="Q34" s="37">
        <f>'Owner Occupier'!$H$30</f>
        <v>3.5000000000000003E-2</v>
      </c>
      <c r="R34" s="38">
        <f>'Owner Occupier'!$D$24</f>
        <v>374990</v>
      </c>
      <c r="S34" s="38">
        <f>'Owner Occupier'!$D$40</f>
        <v>361865.35</v>
      </c>
      <c r="T34" s="39">
        <f t="shared" si="1"/>
        <v>607548.28217828972</v>
      </c>
      <c r="U34" s="39">
        <f>S34-_xlfn.XLOOKUP($M34*12,'FHA Amotization'!$A$4:$A$363,'FHA Amotization'!$E$4:$E$363,0,0,1)</f>
        <v>320976.23455604143</v>
      </c>
      <c r="V34" s="39">
        <f>(R34+T34)*'Owner Occupier'!$H$35</f>
        <v>68777.679752480282</v>
      </c>
      <c r="W34" s="36">
        <f t="shared" si="2"/>
        <v>-481469.62604176905</v>
      </c>
    </row>
    <row r="35" spans="1:23" x14ac:dyDescent="0.25">
      <c r="A35" s="10"/>
      <c r="B35" s="44" t="s">
        <v>8</v>
      </c>
      <c r="C35" s="84">
        <f>Summary!E9</f>
        <v>3.5000000000000003E-2</v>
      </c>
      <c r="D35" s="52">
        <f>C35*D34</f>
        <v>13124.650000000001</v>
      </c>
      <c r="E35" s="45"/>
      <c r="F35" s="43"/>
      <c r="G35" s="44" t="s">
        <v>31</v>
      </c>
      <c r="H35" s="51">
        <v>7.0000000000000007E-2</v>
      </c>
      <c r="I35" s="45"/>
      <c r="M35" s="30">
        <v>29</v>
      </c>
      <c r="N35" s="34">
        <f t="shared" si="3"/>
        <v>911739.40149406285</v>
      </c>
      <c r="O35" s="35">
        <f>N35/P35/M35</f>
        <v>1.2766887964030589</v>
      </c>
      <c r="P35" s="36">
        <f>'Owner Occupier'!$D$38</f>
        <v>24625.648627346643</v>
      </c>
      <c r="Q35" s="37">
        <f>'Owner Occupier'!$H$30</f>
        <v>3.5000000000000003E-2</v>
      </c>
      <c r="R35" s="38">
        <f>'Owner Occupier'!$D$24</f>
        <v>374990</v>
      </c>
      <c r="S35" s="38">
        <f>'Owner Occupier'!$D$40</f>
        <v>361865.35</v>
      </c>
      <c r="T35" s="39">
        <f t="shared" si="1"/>
        <v>641937.12205452961</v>
      </c>
      <c r="U35" s="39">
        <f>S35-_xlfn.XLOOKUP($M35*12,'FHA Amotization'!$A$4:$A$363,'FHA Amotization'!$E$4:$E$363,0,0,1)</f>
        <v>340987.17798335041</v>
      </c>
      <c r="V35" s="39">
        <f>(R35+T35)*'Owner Occupier'!$H$35</f>
        <v>71184.898543817078</v>
      </c>
      <c r="W35" s="36">
        <f t="shared" si="2"/>
        <v>-498664.9698289751</v>
      </c>
    </row>
    <row r="36" spans="1:23" x14ac:dyDescent="0.25">
      <c r="A36" s="10"/>
      <c r="B36" s="44" t="s">
        <v>73</v>
      </c>
      <c r="C36" s="44"/>
      <c r="D36" s="52">
        <f>'Closing Costs'!C28</f>
        <v>11500.998627346644</v>
      </c>
      <c r="E36" s="60"/>
      <c r="F36" s="43"/>
      <c r="G36" s="44" t="s">
        <v>32</v>
      </c>
      <c r="H36" s="52">
        <f>(D34+H32)*$H$35</f>
        <v>43976.734063062657</v>
      </c>
      <c r="I36" s="45"/>
      <c r="M36" s="30">
        <v>30</v>
      </c>
      <c r="N36" s="34">
        <f t="shared" si="3"/>
        <v>965718.55133358727</v>
      </c>
      <c r="O36" s="35">
        <f>N36/P36/M36</f>
        <v>1.3071988017419669</v>
      </c>
      <c r="P36" s="36">
        <f>'Owner Occupier'!$D$38</f>
        <v>24625.648627346643</v>
      </c>
      <c r="Q36" s="37">
        <f>'Owner Occupier'!$H$30</f>
        <v>3.5000000000000003E-2</v>
      </c>
      <c r="R36" s="38">
        <f>'Owner Occupier'!$D$24</f>
        <v>374990</v>
      </c>
      <c r="S36" s="38">
        <f>'Owner Occupier'!$D$40</f>
        <v>361865.35</v>
      </c>
      <c r="T36" s="39">
        <f t="shared" si="1"/>
        <v>677529.5713264381</v>
      </c>
      <c r="U36" s="39">
        <f>S36-_xlfn.XLOOKUP($M36*12,'FHA Amotization'!$A$4:$A$363,'FHA Amotization'!$E$4:$E$363,0,0,1)</f>
        <v>361865.34999999986</v>
      </c>
      <c r="V36" s="39">
        <f>(R36+T36)*'Owner Occupier'!$H$35</f>
        <v>73676.369992850668</v>
      </c>
      <c r="W36" s="36">
        <f t="shared" si="2"/>
        <v>-515860.31361618114</v>
      </c>
    </row>
    <row r="37" spans="1:23" x14ac:dyDescent="0.25">
      <c r="A37" s="10"/>
      <c r="B37" s="44" t="s">
        <v>9</v>
      </c>
      <c r="C37" s="44"/>
      <c r="D37" s="50">
        <v>0</v>
      </c>
      <c r="E37" s="45"/>
      <c r="F37" s="43"/>
      <c r="G37" s="56" t="s">
        <v>3</v>
      </c>
      <c r="H37" s="58">
        <f>+H32+H34-H36</f>
        <v>268720.22660236014</v>
      </c>
      <c r="I37" s="45"/>
      <c r="K37" s="2"/>
    </row>
    <row r="38" spans="1:23" x14ac:dyDescent="0.25">
      <c r="A38" s="10"/>
      <c r="B38" s="56" t="s">
        <v>77</v>
      </c>
      <c r="C38" s="56"/>
      <c r="D38" s="61">
        <f>SUM(D35:D37)</f>
        <v>24625.648627346643</v>
      </c>
      <c r="E38" s="45"/>
      <c r="F38" s="43"/>
      <c r="G38" s="56" t="s">
        <v>4</v>
      </c>
      <c r="H38" s="88">
        <f>H37/D38/H31</f>
        <v>0.72748060546906868</v>
      </c>
      <c r="I38" s="45"/>
      <c r="N38" s="34"/>
    </row>
    <row r="39" spans="1:23" ht="18" x14ac:dyDescent="0.25">
      <c r="A39" s="10"/>
      <c r="B39" s="46" t="s">
        <v>10</v>
      </c>
      <c r="C39" s="46"/>
      <c r="D39" s="48" t="s">
        <v>11</v>
      </c>
      <c r="E39" s="48" t="s">
        <v>12</v>
      </c>
      <c r="F39" s="43"/>
      <c r="G39" s="10"/>
      <c r="H39" s="10"/>
      <c r="I39" s="45"/>
    </row>
    <row r="40" spans="1:23" ht="18" x14ac:dyDescent="0.25">
      <c r="A40" s="10"/>
      <c r="B40" s="44" t="s">
        <v>13</v>
      </c>
      <c r="C40" s="44"/>
      <c r="D40" s="52">
        <f>D34-D35</f>
        <v>361865.35</v>
      </c>
      <c r="E40" s="45"/>
      <c r="F40" s="43"/>
      <c r="G40" s="46" t="s">
        <v>33</v>
      </c>
      <c r="H40" s="48"/>
      <c r="I40" s="48"/>
    </row>
    <row r="41" spans="1:23" x14ac:dyDescent="0.25">
      <c r="A41" s="10"/>
      <c r="B41" s="44" t="s">
        <v>82</v>
      </c>
      <c r="C41" s="44"/>
      <c r="D41" s="63">
        <f>Summary!E10</f>
        <v>4.2500000000000003E-2</v>
      </c>
      <c r="E41" s="45"/>
      <c r="F41" s="43"/>
      <c r="G41" s="56" t="s">
        <v>87</v>
      </c>
      <c r="H41" s="66"/>
      <c r="I41" s="58">
        <f>((D34-68000)/27.5)*0.5</f>
        <v>5581.636363636364</v>
      </c>
    </row>
    <row r="42" spans="1:23" x14ac:dyDescent="0.25">
      <c r="A42" s="10"/>
      <c r="B42" s="44" t="s">
        <v>14</v>
      </c>
      <c r="C42" s="44"/>
      <c r="D42" s="55">
        <v>30</v>
      </c>
      <c r="E42" s="45"/>
      <c r="F42" s="43"/>
      <c r="G42" s="10"/>
      <c r="H42" s="10"/>
      <c r="I42" s="10"/>
    </row>
    <row r="43" spans="1:23" ht="18" x14ac:dyDescent="0.25">
      <c r="A43" s="10"/>
      <c r="B43" s="56" t="s">
        <v>15</v>
      </c>
      <c r="C43" s="56"/>
      <c r="D43" s="61">
        <f>-PMT(D41/12,D42*12,$D$40,0,0)</f>
        <v>1780.1600086443923</v>
      </c>
      <c r="E43" s="59">
        <f>D43*12</f>
        <v>21361.920103732708</v>
      </c>
      <c r="F43" s="43"/>
      <c r="G43" s="46" t="s">
        <v>34</v>
      </c>
      <c r="H43" s="48"/>
      <c r="I43" s="48"/>
    </row>
    <row r="44" spans="1:23" ht="18" x14ac:dyDescent="0.25">
      <c r="A44" s="10"/>
      <c r="B44" s="46" t="s">
        <v>115</v>
      </c>
      <c r="C44" s="46"/>
      <c r="D44" s="48" t="s">
        <v>11</v>
      </c>
      <c r="E44" s="48" t="s">
        <v>12</v>
      </c>
      <c r="F44" s="43"/>
      <c r="G44" s="44" t="s">
        <v>35</v>
      </c>
      <c r="H44" s="44"/>
      <c r="I44" s="67">
        <v>6</v>
      </c>
    </row>
    <row r="45" spans="1:23" x14ac:dyDescent="0.25">
      <c r="A45" s="10"/>
      <c r="B45" s="44" t="s">
        <v>16</v>
      </c>
      <c r="C45" s="44"/>
      <c r="D45" s="52">
        <f>D43</f>
        <v>1780.1600086443923</v>
      </c>
      <c r="E45" s="53">
        <f>E43</f>
        <v>21361.920103732708</v>
      </c>
      <c r="F45" s="43"/>
      <c r="G45" s="56" t="s">
        <v>34</v>
      </c>
      <c r="H45" s="68"/>
      <c r="I45" s="58">
        <f>MIN((D56-D52-D54),3500)*I44*0.5</f>
        <v>8060.0109468015107</v>
      </c>
    </row>
    <row r="46" spans="1:23" x14ac:dyDescent="0.25">
      <c r="A46" s="10"/>
      <c r="B46" s="44" t="s">
        <v>17</v>
      </c>
      <c r="C46" s="82">
        <v>2.0030539999999999E-2</v>
      </c>
      <c r="D46" s="52">
        <f>C46*0.9*D34/12</f>
        <v>563.343914595</v>
      </c>
      <c r="E46" s="53">
        <f>D46*12</f>
        <v>6760.1269751399996</v>
      </c>
      <c r="F46" s="43"/>
      <c r="G46" s="10"/>
      <c r="H46" s="10"/>
      <c r="I46" s="10"/>
    </row>
    <row r="47" spans="1:23" x14ac:dyDescent="0.25">
      <c r="A47" s="10"/>
      <c r="B47" s="44" t="s">
        <v>88</v>
      </c>
      <c r="C47" s="44"/>
      <c r="D47" s="72">
        <f>E47/12</f>
        <v>75.388614583333336</v>
      </c>
      <c r="E47" s="74">
        <f>0.0025*D40</f>
        <v>904.66337499999997</v>
      </c>
      <c r="F47" s="43"/>
      <c r="G47" s="10"/>
      <c r="H47" s="10"/>
      <c r="I47" s="10"/>
    </row>
    <row r="48" spans="1:23" x14ac:dyDescent="0.25">
      <c r="A48" s="10"/>
      <c r="B48" s="44" t="s">
        <v>86</v>
      </c>
      <c r="C48" s="44"/>
      <c r="D48" s="50">
        <v>105</v>
      </c>
      <c r="E48" s="53">
        <f>D48*12</f>
        <v>1260</v>
      </c>
      <c r="F48" s="43"/>
      <c r="G48" s="10"/>
      <c r="H48" s="10"/>
      <c r="I48" s="10"/>
    </row>
    <row r="49" spans="1:9" x14ac:dyDescent="0.25">
      <c r="A49" s="10"/>
      <c r="B49" s="56" t="s">
        <v>127</v>
      </c>
      <c r="C49" s="1"/>
      <c r="D49" s="61">
        <f>SUM(D45:D48)</f>
        <v>2523.8925378227259</v>
      </c>
      <c r="E49" s="83">
        <f>SUM(E45:E48)</f>
        <v>30286.710453872707</v>
      </c>
      <c r="F49" s="43"/>
      <c r="G49" s="10"/>
      <c r="H49" s="10"/>
      <c r="I49" s="10"/>
    </row>
    <row r="50" spans="1:9" x14ac:dyDescent="0.25">
      <c r="A50" s="10"/>
      <c r="B50" s="44"/>
      <c r="D50" s="55"/>
      <c r="E50" s="54"/>
      <c r="F50" s="43"/>
      <c r="G50" s="10"/>
      <c r="H50" s="10"/>
      <c r="I50" s="10"/>
    </row>
    <row r="51" spans="1:9" x14ac:dyDescent="0.25">
      <c r="A51" s="10"/>
      <c r="B51" s="44" t="s">
        <v>126</v>
      </c>
      <c r="C51" s="44"/>
      <c r="D51" s="50">
        <f>1000/12</f>
        <v>83.333333333333329</v>
      </c>
      <c r="E51" s="53">
        <f>D51*12</f>
        <v>1000</v>
      </c>
      <c r="F51" s="43"/>
      <c r="G51" s="10"/>
      <c r="H51" s="10"/>
      <c r="I51" s="10"/>
    </row>
    <row r="52" spans="1:9" x14ac:dyDescent="0.25">
      <c r="A52" s="10"/>
      <c r="B52" s="44" t="s">
        <v>18</v>
      </c>
      <c r="C52" s="81">
        <v>0.06</v>
      </c>
      <c r="D52" s="52">
        <f>(H24-D54)*C52</f>
        <v>80.024999999999991</v>
      </c>
      <c r="E52" s="53">
        <f>D52*12</f>
        <v>960.3</v>
      </c>
      <c r="F52" s="43"/>
      <c r="G52" s="10"/>
      <c r="H52" s="10"/>
      <c r="I52" s="10"/>
    </row>
    <row r="53" spans="1:9" x14ac:dyDescent="0.25">
      <c r="A53" s="10"/>
      <c r="B53" s="44" t="s">
        <v>130</v>
      </c>
      <c r="C53" s="81">
        <v>0.5</v>
      </c>
      <c r="D53" s="52">
        <f>(C53*H24)/18</f>
        <v>38.194444444444443</v>
      </c>
      <c r="E53" s="53">
        <f>D53*12</f>
        <v>458.33333333333331</v>
      </c>
      <c r="F53" s="43"/>
      <c r="G53" s="10"/>
      <c r="H53" s="10"/>
      <c r="I53" s="10"/>
    </row>
    <row r="54" spans="1:9" x14ac:dyDescent="0.25">
      <c r="A54" s="10"/>
      <c r="B54" s="44" t="s">
        <v>20</v>
      </c>
      <c r="C54" s="81">
        <v>0.03</v>
      </c>
      <c r="D54" s="52">
        <f>C54*H24</f>
        <v>41.25</v>
      </c>
      <c r="E54" s="53">
        <f>D54*12</f>
        <v>495</v>
      </c>
      <c r="F54" s="43"/>
      <c r="G54" s="10"/>
      <c r="H54" s="10"/>
      <c r="I54" s="10"/>
    </row>
    <row r="55" spans="1:9" x14ac:dyDescent="0.25">
      <c r="A55" s="10"/>
      <c r="B55" s="44" t="s">
        <v>21</v>
      </c>
      <c r="C55" s="81">
        <v>0.03</v>
      </c>
      <c r="D55" s="52">
        <f>C55*H24</f>
        <v>41.25</v>
      </c>
      <c r="E55" s="53">
        <f>D55*12</f>
        <v>495</v>
      </c>
      <c r="F55" s="43"/>
      <c r="G55" s="10"/>
      <c r="H55" s="10"/>
      <c r="I55" s="10"/>
    </row>
    <row r="56" spans="1:9" x14ac:dyDescent="0.25">
      <c r="A56" s="10"/>
      <c r="B56" s="56" t="s">
        <v>116</v>
      </c>
      <c r="C56" s="56"/>
      <c r="D56" s="58">
        <f>SUM(D49:D55)</f>
        <v>2807.9453156005038</v>
      </c>
      <c r="E56" s="58">
        <f>SUM(E49:E55)</f>
        <v>33695.343787206039</v>
      </c>
      <c r="F56" s="43"/>
      <c r="G56" s="10"/>
      <c r="H56" s="10"/>
      <c r="I56" s="10"/>
    </row>
    <row r="57" spans="1:9" x14ac:dyDescent="0.25">
      <c r="A57" s="10"/>
      <c r="B57" s="56"/>
      <c r="C57" s="10"/>
      <c r="D57" s="87"/>
      <c r="E57" s="87"/>
      <c r="F57" s="43"/>
      <c r="G57" s="10"/>
      <c r="H57" s="10"/>
      <c r="I57" s="10"/>
    </row>
    <row r="58" spans="1:9" x14ac:dyDescent="0.25">
      <c r="A58" s="10"/>
      <c r="B58" s="56"/>
      <c r="C58" s="10"/>
      <c r="D58" s="87"/>
      <c r="E58" s="87"/>
      <c r="F58" s="43"/>
      <c r="G58" s="10"/>
      <c r="H58" s="10"/>
      <c r="I58" s="10"/>
    </row>
    <row r="59" spans="1:9" x14ac:dyDescent="0.25">
      <c r="A59" s="10"/>
      <c r="B59" s="18" t="s">
        <v>69</v>
      </c>
      <c r="C59" s="18"/>
      <c r="D59" s="17"/>
      <c r="E59" s="16"/>
      <c r="F59" s="10"/>
      <c r="G59" s="10"/>
      <c r="H59" s="10"/>
      <c r="I59" s="10"/>
    </row>
    <row r="60" spans="1:9" ht="55.9" customHeight="1" x14ac:dyDescent="0.25">
      <c r="A60" s="10"/>
      <c r="B60" s="111" t="s">
        <v>70</v>
      </c>
      <c r="C60" s="111"/>
      <c r="D60" s="111"/>
      <c r="E60" s="111"/>
      <c r="F60" s="111"/>
      <c r="G60" s="111"/>
      <c r="H60" s="111"/>
      <c r="I60" s="111"/>
    </row>
    <row r="61" spans="1:9" ht="18" x14ac:dyDescent="0.25">
      <c r="A61" s="10"/>
      <c r="B61" s="110" t="s">
        <v>71</v>
      </c>
      <c r="C61" s="110"/>
      <c r="D61" s="110"/>
      <c r="E61" s="110"/>
      <c r="F61" s="110"/>
      <c r="G61" s="110"/>
      <c r="H61" s="110"/>
      <c r="I61" s="1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row r="69" spans="6:6" x14ac:dyDescent="0.25">
      <c r="F69" s="10"/>
    </row>
  </sheetData>
  <sheetProtection selectLockedCells="1"/>
  <mergeCells count="6">
    <mergeCell ref="B61:I61"/>
    <mergeCell ref="B60:I60"/>
    <mergeCell ref="B1:I1"/>
    <mergeCell ref="B2:I2"/>
    <mergeCell ref="B3:I3"/>
    <mergeCell ref="B4:I4"/>
  </mergeCell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D145C42-4DA8-4B53-8E16-A650A69D3554}">
          <x14:formula1>
            <xm:f>DAta!$A$2:$A$23</xm:f>
          </x14:formula1>
          <xm:sqref>C35</xm:sqref>
        </x14:dataValidation>
        <x14:dataValidation type="list" allowBlank="1" showInputMessage="1" showErrorMessage="1" xr:uid="{78EA05F8-9551-4453-865B-AE6AA2E044AA}">
          <x14:formula1>
            <xm:f>DAta!$C$2:$C$11</xm:f>
          </x14:formula1>
          <xm:sqref>C54</xm:sqref>
        </x14:dataValidation>
        <x14:dataValidation type="list" allowBlank="1" showInputMessage="1" showErrorMessage="1" xr:uid="{4A93B6CD-B338-45C7-B425-89FF9464AD9E}">
          <x14:formula1>
            <xm:f>DAta!$E$2:$E$11</xm:f>
          </x14:formula1>
          <xm:sqref>C55</xm:sqref>
        </x14:dataValidation>
        <x14:dataValidation type="list" allowBlank="1" showInputMessage="1" showErrorMessage="1" xr:uid="{E43978D7-47AE-4B52-A406-915F8A794452}">
          <x14:formula1>
            <xm:f>DAta!$H$2:$H$31</xm:f>
          </x14:formula1>
          <xm:sqref>H31</xm:sqref>
        </x14:dataValidation>
        <x14:dataValidation type="list" allowBlank="1" showInputMessage="1" showErrorMessage="1" xr:uid="{C81CACBD-755A-487D-8C73-B1DF00AE9602}">
          <x14:formula1>
            <xm:f>DAta!$F$2:$F$12</xm:f>
          </x14:formula1>
          <xm:sqref>C52</xm:sqref>
        </x14:dataValidation>
        <x14:dataValidation type="list" allowBlank="1" showInputMessage="1" showErrorMessage="1" xr:uid="{C28D86BE-7283-47DE-B2DB-52AE6FA46654}">
          <x14:formula1>
            <xm:f>DAta!$H$2:$H$7</xm:f>
          </x14:formula1>
          <xm:sqref>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144C-EF48-4C59-BF01-2FEB3ECCCD4C}">
  <sheetPr codeName="Sheet2"/>
  <dimension ref="A1:C31"/>
  <sheetViews>
    <sheetView topLeftCell="A3" workbookViewId="0">
      <selection activeCell="G26" sqref="G26"/>
    </sheetView>
  </sheetViews>
  <sheetFormatPr defaultRowHeight="15" x14ac:dyDescent="0.25"/>
  <cols>
    <col min="1" max="1" width="40.28515625" bestFit="1" customWidth="1"/>
    <col min="2" max="2" width="4.85546875" customWidth="1"/>
    <col min="3" max="3" width="17.28515625" bestFit="1" customWidth="1"/>
    <col min="5" max="5" width="11" bestFit="1" customWidth="1"/>
    <col min="7" max="7" width="11" bestFit="1" customWidth="1"/>
  </cols>
  <sheetData>
    <row r="1" spans="1:3" ht="15.75" customHeight="1" x14ac:dyDescent="0.25">
      <c r="A1" s="7" t="s">
        <v>36</v>
      </c>
      <c r="B1" s="7"/>
      <c r="C1" s="7"/>
    </row>
    <row r="2" spans="1:3" ht="15.75" customHeight="1" x14ac:dyDescent="0.25">
      <c r="A2" s="69"/>
      <c r="B2" s="69"/>
      <c r="C2" s="69"/>
    </row>
    <row r="3" spans="1:3" ht="15.75" x14ac:dyDescent="0.25">
      <c r="A3" s="17" t="s">
        <v>37</v>
      </c>
      <c r="B3" s="11"/>
      <c r="C3" s="21">
        <v>895</v>
      </c>
    </row>
    <row r="4" spans="1:3" x14ac:dyDescent="0.25">
      <c r="A4" s="17" t="s">
        <v>38</v>
      </c>
      <c r="B4" s="13"/>
      <c r="C4" s="21">
        <v>605</v>
      </c>
    </row>
    <row r="5" spans="1:3" x14ac:dyDescent="0.25">
      <c r="A5" s="17" t="s">
        <v>39</v>
      </c>
      <c r="B5" s="10"/>
      <c r="C5" s="21">
        <v>70</v>
      </c>
    </row>
    <row r="6" spans="1:3" ht="15.75" x14ac:dyDescent="0.25">
      <c r="A6" s="24" t="s">
        <v>40</v>
      </c>
      <c r="B6" s="11"/>
      <c r="C6" s="27">
        <f>SUM(C3:C5)</f>
        <v>1570</v>
      </c>
    </row>
    <row r="7" spans="1:3" ht="15.75" x14ac:dyDescent="0.25">
      <c r="A7" s="11"/>
      <c r="B7" s="11"/>
      <c r="C7" s="25"/>
    </row>
    <row r="8" spans="1:3" ht="15.75" x14ac:dyDescent="0.25">
      <c r="A8" s="17" t="str">
        <f>IF(K25="No","Appraisal Pd Outside of Closing","Appraisal Fee ")</f>
        <v xml:space="preserve">Appraisal Fee </v>
      </c>
      <c r="B8" s="11"/>
      <c r="C8" s="21">
        <v>675</v>
      </c>
    </row>
    <row r="9" spans="1:3" ht="15.75" x14ac:dyDescent="0.25">
      <c r="A9" s="17" t="s">
        <v>41</v>
      </c>
      <c r="B9" s="11"/>
      <c r="C9" s="21">
        <v>100</v>
      </c>
    </row>
    <row r="10" spans="1:3" ht="15.75" x14ac:dyDescent="0.25">
      <c r="A10" s="17" t="s">
        <v>42</v>
      </c>
      <c r="B10" s="11"/>
      <c r="C10" s="21">
        <v>94</v>
      </c>
    </row>
    <row r="11" spans="1:3" ht="15.75" x14ac:dyDescent="0.25">
      <c r="A11" s="17" t="s">
        <v>43</v>
      </c>
      <c r="B11" s="11"/>
      <c r="C11" s="21">
        <v>142</v>
      </c>
    </row>
    <row r="12" spans="1:3" ht="15.75" x14ac:dyDescent="0.25">
      <c r="A12" s="17" t="s">
        <v>44</v>
      </c>
      <c r="B12" s="11"/>
      <c r="C12" s="21">
        <v>950</v>
      </c>
    </row>
    <row r="13" spans="1:3" ht="15.75" x14ac:dyDescent="0.25">
      <c r="A13" s="17" t="s">
        <v>45</v>
      </c>
      <c r="B13" s="11"/>
      <c r="C13" s="21">
        <v>2940</v>
      </c>
    </row>
    <row r="14" spans="1:3" ht="15.75" x14ac:dyDescent="0.25">
      <c r="A14" s="17" t="s">
        <v>46</v>
      </c>
      <c r="B14" s="11"/>
      <c r="C14" s="21">
        <v>560.44000000000005</v>
      </c>
    </row>
    <row r="15" spans="1:3" ht="15.75" x14ac:dyDescent="0.25">
      <c r="A15" s="17" t="s">
        <v>47</v>
      </c>
      <c r="B15" s="11"/>
      <c r="C15" s="21">
        <v>800</v>
      </c>
    </row>
    <row r="16" spans="1:3" ht="15.75" x14ac:dyDescent="0.25">
      <c r="A16" s="24" t="s">
        <v>48</v>
      </c>
      <c r="B16" s="19"/>
      <c r="C16" s="27">
        <f>SUM(C6:C15)</f>
        <v>7831.4400000000005</v>
      </c>
    </row>
    <row r="17" spans="1:3" ht="15.75" x14ac:dyDescent="0.25">
      <c r="A17" s="12"/>
      <c r="B17" s="19"/>
      <c r="C17" s="26"/>
    </row>
    <row r="18" spans="1:3" x14ac:dyDescent="0.25">
      <c r="A18" s="17" t="s">
        <v>75</v>
      </c>
      <c r="B18" s="10"/>
      <c r="C18" s="21">
        <f>(('With Loan'!D40*'With Loan'!D41)/365)*15</f>
        <v>404.52688356164379</v>
      </c>
    </row>
    <row r="19" spans="1:3" x14ac:dyDescent="0.25">
      <c r="A19" s="17" t="s">
        <v>49</v>
      </c>
      <c r="B19" s="10"/>
      <c r="C19" s="21">
        <f>'With Loan'!E47</f>
        <v>1260</v>
      </c>
    </row>
    <row r="20" spans="1:3" x14ac:dyDescent="0.25">
      <c r="A20" s="17" t="s">
        <v>50</v>
      </c>
      <c r="B20" s="10"/>
      <c r="C20" s="21">
        <f>((C19+'With Loan'!E46)/12)*3</f>
        <v>2005.0317437849999</v>
      </c>
    </row>
    <row r="21" spans="1:3" ht="15.75" x14ac:dyDescent="0.25">
      <c r="A21" s="24" t="s">
        <v>51</v>
      </c>
      <c r="B21" s="19"/>
      <c r="C21" s="27">
        <f>SUM(C18:C20)</f>
        <v>3669.5586273466438</v>
      </c>
    </row>
    <row r="22" spans="1:3" ht="15.75" x14ac:dyDescent="0.25">
      <c r="A22" s="11"/>
      <c r="B22" s="10"/>
      <c r="C22" s="20"/>
    </row>
    <row r="23" spans="1:3" ht="15.75" x14ac:dyDescent="0.25">
      <c r="A23" s="24" t="s">
        <v>52</v>
      </c>
      <c r="B23" s="19"/>
      <c r="C23" s="27">
        <f>C21+C16</f>
        <v>11500.998627346644</v>
      </c>
    </row>
    <row r="24" spans="1:3" x14ac:dyDescent="0.25">
      <c r="A24" s="10"/>
      <c r="B24" s="10"/>
      <c r="C24" s="10"/>
    </row>
    <row r="25" spans="1:3" x14ac:dyDescent="0.25">
      <c r="A25" s="28" t="s">
        <v>53</v>
      </c>
      <c r="B25" s="10"/>
      <c r="C25" s="22" t="s">
        <v>54</v>
      </c>
    </row>
    <row r="26" spans="1:3" ht="15.75" x14ac:dyDescent="0.25">
      <c r="A26" s="14" t="s">
        <v>55</v>
      </c>
      <c r="B26" s="10"/>
      <c r="C26" s="23"/>
    </row>
    <row r="27" spans="1:3" x14ac:dyDescent="0.25">
      <c r="A27" s="10"/>
      <c r="B27" s="10"/>
      <c r="C27" s="10"/>
    </row>
    <row r="28" spans="1:3" ht="15.75" x14ac:dyDescent="0.25">
      <c r="A28" s="24" t="s">
        <v>56</v>
      </c>
      <c r="B28" s="10"/>
      <c r="C28" s="27">
        <f>IF(C25="Yes",C26,C23)</f>
        <v>11500.998627346644</v>
      </c>
    </row>
    <row r="31" spans="1:3" x14ac:dyDescent="0.25">
      <c r="C31" s="15"/>
    </row>
  </sheetData>
  <protectedRanges>
    <protectedRange sqref="C6:C7" name="Range1_3"/>
  </protectedRange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6F6416-0D3A-477F-9AA9-2FEA442B5FC7}">
          <x14:formula1>
            <xm:f>DAta!$J$2:$J$3</xm:f>
          </x14:formula1>
          <xm:sqref>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70D-753F-41D5-9D46-B694A30EF4E1}">
  <dimension ref="A1:G363"/>
  <sheetViews>
    <sheetView workbookViewId="0">
      <selection activeCell="F4" sqref="F4:F363"/>
    </sheetView>
  </sheetViews>
  <sheetFormatPr defaultRowHeight="15" x14ac:dyDescent="0.25"/>
  <cols>
    <col min="2" max="2" width="17.28515625" bestFit="1" customWidth="1"/>
    <col min="3" max="3" width="23.5703125" bestFit="1" customWidth="1"/>
    <col min="4" max="4" width="23.5703125" customWidth="1"/>
    <col min="5" max="5" width="17.28515625" bestFit="1" customWidth="1"/>
    <col min="6" max="6" width="16.28515625" bestFit="1" customWidth="1"/>
    <col min="7" max="7" width="26.5703125" bestFit="1" customWidth="1"/>
  </cols>
  <sheetData>
    <row r="1" spans="1:7" ht="18.75" x14ac:dyDescent="0.3">
      <c r="A1" s="114" t="s">
        <v>61</v>
      </c>
      <c r="B1" s="114"/>
      <c r="C1" s="114"/>
      <c r="D1" s="5"/>
      <c r="E1" s="5"/>
    </row>
    <row r="2" spans="1:7" x14ac:dyDescent="0.25">
      <c r="E2" s="15"/>
    </row>
    <row r="3" spans="1:7" x14ac:dyDescent="0.25">
      <c r="A3" s="1" t="s">
        <v>62</v>
      </c>
      <c r="B3" s="1" t="s">
        <v>63</v>
      </c>
      <c r="C3" s="1" t="s">
        <v>64</v>
      </c>
      <c r="D3" s="1" t="s">
        <v>65</v>
      </c>
      <c r="E3" s="1" t="s">
        <v>66</v>
      </c>
      <c r="F3" s="1" t="s">
        <v>80</v>
      </c>
      <c r="G3" s="1" t="s">
        <v>81</v>
      </c>
    </row>
    <row r="4" spans="1:7" x14ac:dyDescent="0.25">
      <c r="A4">
        <v>1</v>
      </c>
      <c r="B4" s="4">
        <f>-PPMT('Owner Occupier'!$D$41/12,'FHA Amotization'!$A4,360,'Owner Occupier'!$D$40,0,0)</f>
        <v>498.55356072772548</v>
      </c>
      <c r="C4" s="4">
        <f>-IPMT('Owner Occupier'!$D$41/12,'FHA Amotization'!$A4,360,'Owner Occupier'!$D$40,0,0)</f>
        <v>1281.6064479166666</v>
      </c>
      <c r="D4" s="4">
        <f>B4+C4</f>
        <v>1780.1600086443921</v>
      </c>
      <c r="E4" s="4">
        <f>'Owner Occupier'!$D$40-'FHA Amotization'!B4</f>
        <v>361366.79643927224</v>
      </c>
      <c r="F4" s="4">
        <f>('Owner Occupier'!$H$24-'Owner Occupier'!$D$52)/('Owner Occupier'!$D$56-'Owner Occupier'!$D$52)*B4</f>
        <v>236.66908216168537</v>
      </c>
      <c r="G4" s="4">
        <f>F4</f>
        <v>236.66908216168537</v>
      </c>
    </row>
    <row r="5" spans="1:7" x14ac:dyDescent="0.25">
      <c r="A5">
        <v>2</v>
      </c>
      <c r="B5" s="4">
        <f>-PPMT('Owner Occupier'!$D$41/12,'FHA Amotization'!$A5,360,'Owner Occupier'!$D$40,0,0)</f>
        <v>500.31927125530279</v>
      </c>
      <c r="C5" s="4">
        <f>-IPMT('Owner Occupier'!$D$41/12,'FHA Amotization'!$A5,360,'Owner Occupier'!$D$40,0,0)</f>
        <v>1279.8407373890896</v>
      </c>
      <c r="D5" s="4">
        <f t="shared" ref="D5:D68" si="0">B5+C5</f>
        <v>1780.1600086443923</v>
      </c>
      <c r="E5" s="3">
        <f>E4-B5</f>
        <v>360866.47716801695</v>
      </c>
      <c r="F5" s="4">
        <f>('Owner Occupier'!$H$24-'Owner Occupier'!$D$52)/('Owner Occupier'!$D$56-'Owner Occupier'!$D$52)*B5</f>
        <v>237.50728516100796</v>
      </c>
      <c r="G5" s="4">
        <f>F5+G4</f>
        <v>474.1763673226933</v>
      </c>
    </row>
    <row r="6" spans="1:7" x14ac:dyDescent="0.25">
      <c r="A6">
        <v>3</v>
      </c>
      <c r="B6" s="4">
        <f>-PPMT('Owner Occupier'!$D$41/12,'FHA Amotization'!$A6,360,'Owner Occupier'!$D$40,0,0)</f>
        <v>502.09123534099865</v>
      </c>
      <c r="C6" s="4">
        <f>-IPMT('Owner Occupier'!$D$41/12,'FHA Amotization'!$A6,360,'Owner Occupier'!$D$40,0,0)</f>
        <v>1278.0687733033935</v>
      </c>
      <c r="D6" s="4">
        <f t="shared" si="0"/>
        <v>1780.1600086443923</v>
      </c>
      <c r="E6" s="3">
        <f t="shared" ref="E6:E69" si="1">E5-B6</f>
        <v>360364.38593267597</v>
      </c>
      <c r="F6" s="4">
        <f>('Owner Occupier'!$H$24-'Owner Occupier'!$D$52)/('Owner Occupier'!$D$56-'Owner Occupier'!$D$52)*B6</f>
        <v>238.34845679595321</v>
      </c>
      <c r="G6" s="4">
        <f t="shared" ref="G6:G69" si="2">F6+G5</f>
        <v>712.52482411864651</v>
      </c>
    </row>
    <row r="7" spans="1:7" x14ac:dyDescent="0.25">
      <c r="A7">
        <v>4</v>
      </c>
      <c r="B7" s="4">
        <f>-PPMT('Owner Occupier'!$D$41/12,'FHA Amotization'!$A7,360,'Owner Occupier'!$D$40,0,0)</f>
        <v>503.86947513283133</v>
      </c>
      <c r="C7" s="4">
        <f>-IPMT('Owner Occupier'!$D$41/12,'FHA Amotization'!$A7,360,'Owner Occupier'!$D$40,0,0)</f>
        <v>1276.2905335115611</v>
      </c>
      <c r="D7" s="4">
        <f t="shared" si="0"/>
        <v>1780.1600086443923</v>
      </c>
      <c r="E7" s="3">
        <f t="shared" si="1"/>
        <v>359860.51645754313</v>
      </c>
      <c r="F7" s="4">
        <f>('Owner Occupier'!$H$24-'Owner Occupier'!$D$52)/('Owner Occupier'!$D$56-'Owner Occupier'!$D$52)*B7</f>
        <v>239.19260758043885</v>
      </c>
      <c r="G7" s="4">
        <f t="shared" si="2"/>
        <v>951.71743169908541</v>
      </c>
    </row>
    <row r="8" spans="1:7" x14ac:dyDescent="0.25">
      <c r="A8">
        <v>5</v>
      </c>
      <c r="B8" s="4">
        <f>-PPMT('Owner Occupier'!$D$41/12,'FHA Amotization'!$A8,360,'Owner Occupier'!$D$40,0,0)</f>
        <v>505.65401285726011</v>
      </c>
      <c r="C8" s="4">
        <f>-IPMT('Owner Occupier'!$D$41/12,'FHA Amotization'!$A8,360,'Owner Occupier'!$D$40,0,0)</f>
        <v>1274.5059957871322</v>
      </c>
      <c r="D8" s="4">
        <f t="shared" si="0"/>
        <v>1780.1600086443923</v>
      </c>
      <c r="E8" s="3">
        <f t="shared" si="1"/>
        <v>359354.86244468589</v>
      </c>
      <c r="F8" s="4">
        <f>('Owner Occupier'!$H$24-'Owner Occupier'!$D$52)/('Owner Occupier'!$D$56-'Owner Occupier'!$D$52)*B8</f>
        <v>240.03974806561959</v>
      </c>
      <c r="G8" s="4">
        <f t="shared" si="2"/>
        <v>1191.7571797647049</v>
      </c>
    </row>
    <row r="9" spans="1:7" x14ac:dyDescent="0.25">
      <c r="A9">
        <v>6</v>
      </c>
      <c r="B9" s="4">
        <f>-PPMT('Owner Occupier'!$D$41/12,'FHA Amotization'!$A9,360,'Owner Occupier'!$D$40,0,0)</f>
        <v>507.44487081946284</v>
      </c>
      <c r="C9" s="4">
        <f>-IPMT('Owner Occupier'!$D$41/12,'FHA Amotization'!$A9,360,'Owner Occupier'!$D$40,0,0)</f>
        <v>1272.7151378249293</v>
      </c>
      <c r="D9" s="4">
        <f t="shared" si="0"/>
        <v>1780.1600086443923</v>
      </c>
      <c r="E9" s="3">
        <f t="shared" si="1"/>
        <v>358847.41757386643</v>
      </c>
      <c r="F9" s="4">
        <f>('Owner Occupier'!$H$24-'Owner Occupier'!$D$52)/('Owner Occupier'!$D$56-'Owner Occupier'!$D$52)*B9</f>
        <v>240.88988884001861</v>
      </c>
      <c r="G9" s="4">
        <f t="shared" si="2"/>
        <v>1432.6470686047235</v>
      </c>
    </row>
    <row r="10" spans="1:7" x14ac:dyDescent="0.25">
      <c r="A10">
        <v>7</v>
      </c>
      <c r="B10" s="4">
        <f>-PPMT('Owner Occupier'!$D$41/12,'FHA Amotization'!$A10,360,'Owner Occupier'!$D$40,0,0)</f>
        <v>509.24207140361528</v>
      </c>
      <c r="C10" s="4">
        <f>-IPMT('Owner Occupier'!$D$41/12,'FHA Amotization'!$A10,360,'Owner Occupier'!$D$40,0,0)</f>
        <v>1270.9179372407771</v>
      </c>
      <c r="D10" s="4">
        <f t="shared" si="0"/>
        <v>1780.1600086443923</v>
      </c>
      <c r="E10" s="3">
        <f t="shared" si="1"/>
        <v>358338.17550246284</v>
      </c>
      <c r="F10" s="4">
        <f>('Owner Occupier'!$H$24-'Owner Occupier'!$D$52)/('Owner Occupier'!$D$56-'Owner Occupier'!$D$52)*B10</f>
        <v>241.74304052966045</v>
      </c>
      <c r="G10" s="4">
        <f t="shared" si="2"/>
        <v>1674.3901091343839</v>
      </c>
    </row>
    <row r="11" spans="1:7" x14ac:dyDescent="0.25">
      <c r="A11">
        <v>8</v>
      </c>
      <c r="B11" s="4">
        <f>-PPMT('Owner Occupier'!$D$41/12,'FHA Amotization'!$A11,360,'Owner Occupier'!$D$40,0,0)</f>
        <v>511.04563707316959</v>
      </c>
      <c r="C11" s="4">
        <f>-IPMT('Owner Occupier'!$D$41/12,'FHA Amotization'!$A11,360,'Owner Occupier'!$D$40,0,0)</f>
        <v>1269.1143715712226</v>
      </c>
      <c r="D11" s="4">
        <f t="shared" si="0"/>
        <v>1780.1600086443923</v>
      </c>
      <c r="E11" s="3">
        <f t="shared" si="1"/>
        <v>357827.12986538967</v>
      </c>
      <c r="F11" s="4">
        <f>('Owner Occupier'!$H$24-'Owner Occupier'!$D$52)/('Owner Occupier'!$D$56-'Owner Occupier'!$D$52)*B11</f>
        <v>242.5992137982029</v>
      </c>
      <c r="G11" s="4">
        <f t="shared" si="2"/>
        <v>1916.9893229325869</v>
      </c>
    </row>
    <row r="12" spans="1:7" x14ac:dyDescent="0.25">
      <c r="A12">
        <v>9</v>
      </c>
      <c r="B12" s="4">
        <f>-PPMT('Owner Occupier'!$D$41/12,'FHA Amotization'!$A12,360,'Owner Occupier'!$D$40,0,0)</f>
        <v>512.85559037113717</v>
      </c>
      <c r="C12" s="4">
        <f>-IPMT('Owner Occupier'!$D$41/12,'FHA Amotization'!$A12,360,'Owner Occupier'!$D$40,0,0)</f>
        <v>1267.3044182732551</v>
      </c>
      <c r="D12" s="4">
        <f t="shared" si="0"/>
        <v>1780.1600086443923</v>
      </c>
      <c r="E12" s="3">
        <f t="shared" si="1"/>
        <v>357314.27427501854</v>
      </c>
      <c r="F12" s="4">
        <f>('Owner Occupier'!$H$24-'Owner Occupier'!$D$52)/('Owner Occupier'!$D$56-'Owner Occupier'!$D$52)*B12</f>
        <v>243.45841934707158</v>
      </c>
      <c r="G12" s="4">
        <f t="shared" si="2"/>
        <v>2160.4477422796585</v>
      </c>
    </row>
    <row r="13" spans="1:7" x14ac:dyDescent="0.25">
      <c r="A13">
        <v>10</v>
      </c>
      <c r="B13" s="4">
        <f>-PPMT('Owner Occupier'!$D$41/12,'FHA Amotization'!$A13,360,'Owner Occupier'!$D$40,0,0)</f>
        <v>514.6719539203682</v>
      </c>
      <c r="C13" s="4">
        <f>-IPMT('Owner Occupier'!$D$41/12,'FHA Amotization'!$A13,360,'Owner Occupier'!$D$40,0,0)</f>
        <v>1265.4880547240241</v>
      </c>
      <c r="D13" s="4">
        <f t="shared" si="0"/>
        <v>1780.1600086443923</v>
      </c>
      <c r="E13" s="3">
        <f t="shared" si="1"/>
        <v>356799.60232109815</v>
      </c>
      <c r="F13" s="4">
        <f>('Owner Occupier'!$H$24-'Owner Occupier'!$D$52)/('Owner Occupier'!$D$56-'Owner Occupier'!$D$52)*B13</f>
        <v>244.32066791559242</v>
      </c>
      <c r="G13" s="4">
        <f t="shared" si="2"/>
        <v>2404.7684101952509</v>
      </c>
    </row>
    <row r="14" spans="1:7" x14ac:dyDescent="0.25">
      <c r="A14">
        <v>11</v>
      </c>
      <c r="B14" s="4">
        <f>-PPMT('Owner Occupier'!$D$41/12,'FHA Amotization'!$A14,360,'Owner Occupier'!$D$40,0,0)</f>
        <v>516.49475042383631</v>
      </c>
      <c r="C14" s="4">
        <f>-IPMT('Owner Occupier'!$D$41/12,'FHA Amotization'!$A14,360,'Owner Occupier'!$D$40,0,0)</f>
        <v>1263.6652582205559</v>
      </c>
      <c r="D14" s="4">
        <f t="shared" si="0"/>
        <v>1780.1600086443923</v>
      </c>
      <c r="E14" s="3">
        <f t="shared" si="1"/>
        <v>356283.10757067433</v>
      </c>
      <c r="F14" s="4">
        <f>('Owner Occupier'!$H$24-'Owner Occupier'!$D$52)/('Owner Occupier'!$D$56-'Owner Occupier'!$D$52)*B14</f>
        <v>245.18597028112688</v>
      </c>
      <c r="G14" s="4">
        <f t="shared" si="2"/>
        <v>2649.954380476378</v>
      </c>
    </row>
    <row r="15" spans="1:7" x14ac:dyDescent="0.25">
      <c r="A15">
        <v>12</v>
      </c>
      <c r="B15" s="4">
        <f>-PPMT('Owner Occupier'!$D$41/12,'FHA Amotization'!$A15,360,'Owner Occupier'!$D$40,0,0)</f>
        <v>518.32400266492073</v>
      </c>
      <c r="C15" s="4">
        <f>-IPMT('Owner Occupier'!$D$41/12,'FHA Amotization'!$A15,360,'Owner Occupier'!$D$40,0,0)</f>
        <v>1261.8360059794716</v>
      </c>
      <c r="D15" s="4">
        <f t="shared" si="0"/>
        <v>1780.1600086443923</v>
      </c>
      <c r="E15" s="3">
        <f t="shared" si="1"/>
        <v>355764.78356800938</v>
      </c>
      <c r="F15" s="4">
        <f>('Owner Occupier'!$H$24-'Owner Occupier'!$D$52)/('Owner Occupier'!$D$56-'Owner Occupier'!$D$52)*B15</f>
        <v>246.05433725920588</v>
      </c>
      <c r="G15" s="4">
        <f t="shared" si="2"/>
        <v>2896.008717735584</v>
      </c>
    </row>
    <row r="16" spans="1:7" x14ac:dyDescent="0.25">
      <c r="A16">
        <v>13</v>
      </c>
      <c r="B16" s="4">
        <f>-PPMT('Owner Occupier'!$D$41/12,'FHA Amotization'!$A16,360,'Owner Occupier'!$D$40,0,0)</f>
        <v>520.15973350769229</v>
      </c>
      <c r="C16" s="4">
        <f>-IPMT('Owner Occupier'!$D$41/12,'FHA Amotization'!$A16,360,'Owner Occupier'!$D$40,0,0)</f>
        <v>1260.0002751366999</v>
      </c>
      <c r="D16" s="4">
        <f t="shared" si="0"/>
        <v>1780.1600086443923</v>
      </c>
      <c r="E16" s="3">
        <f t="shared" si="1"/>
        <v>355244.62383450172</v>
      </c>
      <c r="F16" s="4">
        <f>('Owner Occupier'!$H$24-'Owner Occupier'!$D$52)/('Owner Occupier'!$D$56-'Owner Occupier'!$D$52)*B16</f>
        <v>246.92577970366554</v>
      </c>
      <c r="G16" s="4">
        <f t="shared" si="2"/>
        <v>3142.9344974392498</v>
      </c>
    </row>
    <row r="17" spans="1:7" x14ac:dyDescent="0.25">
      <c r="A17">
        <v>14</v>
      </c>
      <c r="B17" s="4">
        <f>-PPMT('Owner Occupier'!$D$41/12,'FHA Amotization'!$A17,360,'Owner Occupier'!$D$40,0,0)</f>
        <v>522.00196589719872</v>
      </c>
      <c r="C17" s="4">
        <f>-IPMT('Owner Occupier'!$D$41/12,'FHA Amotization'!$A17,360,'Owner Occupier'!$D$40,0,0)</f>
        <v>1258.1580427471936</v>
      </c>
      <c r="D17" s="4">
        <f t="shared" si="0"/>
        <v>1780.1600086443923</v>
      </c>
      <c r="E17" s="3">
        <f t="shared" si="1"/>
        <v>354722.6218686045</v>
      </c>
      <c r="F17" s="4">
        <f>('Owner Occupier'!$H$24-'Owner Occupier'!$D$52)/('Owner Occupier'!$D$56-'Owner Occupier'!$D$52)*B17</f>
        <v>247.8003085067827</v>
      </c>
      <c r="G17" s="4">
        <f t="shared" si="2"/>
        <v>3390.7348059460323</v>
      </c>
    </row>
    <row r="18" spans="1:7" x14ac:dyDescent="0.25">
      <c r="A18">
        <v>15</v>
      </c>
      <c r="B18" s="4">
        <f>-PPMT('Owner Occupier'!$D$41/12,'FHA Amotization'!$A18,360,'Owner Occupier'!$D$40,0,0)</f>
        <v>523.85072285975127</v>
      </c>
      <c r="C18" s="4">
        <f>-IPMT('Owner Occupier'!$D$41/12,'FHA Amotization'!$A18,360,'Owner Occupier'!$D$40,0,0)</f>
        <v>1256.3092857846411</v>
      </c>
      <c r="D18" s="4">
        <f t="shared" si="0"/>
        <v>1780.1600086443923</v>
      </c>
      <c r="E18" s="3">
        <f t="shared" si="1"/>
        <v>354198.77114574477</v>
      </c>
      <c r="F18" s="4">
        <f>('Owner Occupier'!$H$24-'Owner Occupier'!$D$52)/('Owner Occupier'!$D$56-'Owner Occupier'!$D$52)*B18</f>
        <v>248.67793459941089</v>
      </c>
      <c r="G18" s="4">
        <f t="shared" si="2"/>
        <v>3639.4127405454433</v>
      </c>
    </row>
    <row r="19" spans="1:7" x14ac:dyDescent="0.25">
      <c r="A19">
        <v>16</v>
      </c>
      <c r="B19" s="4">
        <f>-PPMT('Owner Occupier'!$D$41/12,'FHA Amotization'!$A19,360,'Owner Occupier'!$D$40,0,0)</f>
        <v>525.70602750321279</v>
      </c>
      <c r="C19" s="4">
        <f>-IPMT('Owner Occupier'!$D$41/12,'FHA Amotization'!$A19,360,'Owner Occupier'!$D$40,0,0)</f>
        <v>1254.4539811411794</v>
      </c>
      <c r="D19" s="4">
        <f t="shared" si="0"/>
        <v>1780.1600086443923</v>
      </c>
      <c r="E19" s="3">
        <f t="shared" si="1"/>
        <v>353673.06511824153</v>
      </c>
      <c r="F19" s="4">
        <f>('Owner Occupier'!$H$24-'Owner Occupier'!$D$52)/('Owner Occupier'!$D$56-'Owner Occupier'!$D$52)*B19</f>
        <v>249.55866895111708</v>
      </c>
      <c r="G19" s="4">
        <f t="shared" si="2"/>
        <v>3888.9714094965602</v>
      </c>
    </row>
    <row r="20" spans="1:7" x14ac:dyDescent="0.25">
      <c r="A20">
        <v>17</v>
      </c>
      <c r="B20" s="4">
        <f>-PPMT('Owner Occupier'!$D$41/12,'FHA Amotization'!$A20,360,'Owner Occupier'!$D$40,0,0)</f>
        <v>527.56790301728688</v>
      </c>
      <c r="C20" s="4">
        <f>-IPMT('Owner Occupier'!$D$41/12,'FHA Amotization'!$A20,360,'Owner Occupier'!$D$40,0,0)</f>
        <v>1252.5921056271054</v>
      </c>
      <c r="D20" s="4">
        <f t="shared" si="0"/>
        <v>1780.1600086443923</v>
      </c>
      <c r="E20" s="3">
        <f t="shared" si="1"/>
        <v>353145.49721522426</v>
      </c>
      <c r="F20" s="4">
        <f>('Owner Occupier'!$H$24-'Owner Occupier'!$D$52)/('Owner Occupier'!$D$56-'Owner Occupier'!$D$52)*B20</f>
        <v>250.44252257031906</v>
      </c>
      <c r="G20" s="4">
        <f t="shared" si="2"/>
        <v>4139.4139320668792</v>
      </c>
    </row>
    <row r="21" spans="1:7" x14ac:dyDescent="0.25">
      <c r="A21">
        <v>18</v>
      </c>
      <c r="B21" s="4">
        <f>-PPMT('Owner Occupier'!$D$41/12,'FHA Amotization'!$A21,360,'Owner Occupier'!$D$40,0,0)</f>
        <v>529.4363726738062</v>
      </c>
      <c r="C21" s="4">
        <f>-IPMT('Owner Occupier'!$D$41/12,'FHA Amotization'!$A21,360,'Owner Occupier'!$D$40,0,0)</f>
        <v>1250.723635970586</v>
      </c>
      <c r="D21" s="4">
        <f t="shared" si="0"/>
        <v>1780.1600086443923</v>
      </c>
      <c r="E21" s="3">
        <f t="shared" si="1"/>
        <v>352616.06084255048</v>
      </c>
      <c r="F21" s="4">
        <f>('Owner Occupier'!$H$24-'Owner Occupier'!$D$52)/('Owner Occupier'!$D$56-'Owner Occupier'!$D$52)*B21</f>
        <v>251.32950650442217</v>
      </c>
      <c r="G21" s="4">
        <f t="shared" si="2"/>
        <v>4390.7434385713013</v>
      </c>
    </row>
    <row r="22" spans="1:7" x14ac:dyDescent="0.25">
      <c r="A22">
        <v>19</v>
      </c>
      <c r="B22" s="4">
        <f>-PPMT('Owner Occupier'!$D$41/12,'FHA Amotization'!$A22,360,'Owner Occupier'!$D$40,0,0)</f>
        <v>531.31145982702606</v>
      </c>
      <c r="C22" s="4">
        <f>-IPMT('Owner Occupier'!$D$41/12,'FHA Amotization'!$A22,360,'Owner Occupier'!$D$40,0,0)</f>
        <v>1248.8485488173662</v>
      </c>
      <c r="D22" s="4">
        <f t="shared" si="0"/>
        <v>1780.1600086443923</v>
      </c>
      <c r="E22" s="3">
        <f t="shared" si="1"/>
        <v>352084.74938272347</v>
      </c>
      <c r="F22" s="4">
        <f>('Owner Occupier'!$H$24-'Owner Occupier'!$D$52)/('Owner Occupier'!$D$56-'Owner Occupier'!$D$52)*B22</f>
        <v>252.21963183995871</v>
      </c>
      <c r="G22" s="4">
        <f t="shared" si="2"/>
        <v>4642.9630704112597</v>
      </c>
    </row>
    <row r="23" spans="1:7" x14ac:dyDescent="0.25">
      <c r="A23">
        <v>20</v>
      </c>
      <c r="B23" s="4">
        <f>-PPMT('Owner Occupier'!$D$41/12,'FHA Amotization'!$A23,360,'Owner Occupier'!$D$40,0,0)</f>
        <v>533.19318791391345</v>
      </c>
      <c r="C23" s="4">
        <f>-IPMT('Owner Occupier'!$D$41/12,'FHA Amotization'!$A23,360,'Owner Occupier'!$D$40,0,0)</f>
        <v>1246.966820730479</v>
      </c>
      <c r="D23" s="4">
        <f t="shared" si="0"/>
        <v>1780.1600086443923</v>
      </c>
      <c r="E23" s="3">
        <f t="shared" si="1"/>
        <v>351551.55619480956</v>
      </c>
      <c r="F23" s="4">
        <f>('Owner Occupier'!$H$24-'Owner Occupier'!$D$52)/('Owner Occupier'!$D$56-'Owner Occupier'!$D$52)*B23</f>
        <v>253.11290970272523</v>
      </c>
      <c r="G23" s="4">
        <f t="shared" si="2"/>
        <v>4896.0759801139848</v>
      </c>
    </row>
    <row r="24" spans="1:7" x14ac:dyDescent="0.25">
      <c r="A24">
        <v>21</v>
      </c>
      <c r="B24" s="4">
        <f>-PPMT('Owner Occupier'!$D$41/12,'FHA Amotization'!$A24,360,'Owner Occupier'!$D$40,0,0)</f>
        <v>535.08158045444179</v>
      </c>
      <c r="C24" s="4">
        <f>-IPMT('Owner Occupier'!$D$41/12,'FHA Amotization'!$A24,360,'Owner Occupier'!$D$40,0,0)</f>
        <v>1245.0784281899505</v>
      </c>
      <c r="D24" s="4">
        <f t="shared" si="0"/>
        <v>1780.1600086443923</v>
      </c>
      <c r="E24" s="3">
        <f t="shared" si="1"/>
        <v>351016.47461435513</v>
      </c>
      <c r="F24" s="4">
        <f>('Owner Occupier'!$H$24-'Owner Occupier'!$D$52)/('Owner Occupier'!$D$56-'Owner Occupier'!$D$52)*B24</f>
        <v>254.00935125792233</v>
      </c>
      <c r="G24" s="4">
        <f t="shared" si="2"/>
        <v>5150.0853313719072</v>
      </c>
    </row>
    <row r="25" spans="1:7" x14ac:dyDescent="0.25">
      <c r="A25">
        <v>22</v>
      </c>
      <c r="B25" s="4">
        <f>-PPMT('Owner Occupier'!$D$41/12,'FHA Amotization'!$A25,360,'Owner Occupier'!$D$40,0,0)</f>
        <v>536.97666105188466</v>
      </c>
      <c r="C25" s="4">
        <f>-IPMT('Owner Occupier'!$D$41/12,'FHA Amotization'!$A25,360,'Owner Occupier'!$D$40,0,0)</f>
        <v>1243.1833475925077</v>
      </c>
      <c r="D25" s="4">
        <f t="shared" si="0"/>
        <v>1780.1600086443923</v>
      </c>
      <c r="E25" s="3">
        <f t="shared" si="1"/>
        <v>350479.49795330327</v>
      </c>
      <c r="F25" s="4">
        <f>('Owner Occupier'!$H$24-'Owner Occupier'!$D$52)/('Owner Occupier'!$D$56-'Owner Occupier'!$D$52)*B25</f>
        <v>254.90896771029418</v>
      </c>
      <c r="G25" s="4">
        <f t="shared" si="2"/>
        <v>5404.994299082201</v>
      </c>
    </row>
    <row r="26" spans="1:7" x14ac:dyDescent="0.25">
      <c r="A26">
        <v>23</v>
      </c>
      <c r="B26" s="4">
        <f>-PPMT('Owner Occupier'!$D$41/12,'FHA Amotization'!$A26,360,'Owner Occupier'!$D$40,0,0)</f>
        <v>538.87845339311014</v>
      </c>
      <c r="C26" s="4">
        <f>-IPMT('Owner Occupier'!$D$41/12,'FHA Amotization'!$A26,360,'Owner Occupier'!$D$40,0,0)</f>
        <v>1241.281555251282</v>
      </c>
      <c r="D26" s="4">
        <f t="shared" si="0"/>
        <v>1780.1600086443923</v>
      </c>
      <c r="E26" s="3">
        <f t="shared" si="1"/>
        <v>349940.61949991016</v>
      </c>
      <c r="F26" s="4">
        <f>('Owner Occupier'!$H$24-'Owner Occupier'!$D$52)/('Owner Occupier'!$D$56-'Owner Occupier'!$D$52)*B26</f>
        <v>255.81177030426815</v>
      </c>
      <c r="G26" s="4">
        <f t="shared" si="2"/>
        <v>5660.8060693864691</v>
      </c>
    </row>
    <row r="27" spans="1:7" x14ac:dyDescent="0.25">
      <c r="A27">
        <v>24</v>
      </c>
      <c r="B27" s="4">
        <f>-PPMT('Owner Occupier'!$D$41/12,'FHA Amotization'!$A27,360,'Owner Occupier'!$D$40,0,0)</f>
        <v>540.78698124887751</v>
      </c>
      <c r="C27" s="4">
        <f>-IPMT('Owner Occupier'!$D$41/12,'FHA Amotization'!$A27,360,'Owner Occupier'!$D$40,0,0)</f>
        <v>1239.3730273955146</v>
      </c>
      <c r="D27" s="4">
        <f t="shared" si="0"/>
        <v>1780.1600086443921</v>
      </c>
      <c r="E27" s="3">
        <f t="shared" si="1"/>
        <v>349399.83251866128</v>
      </c>
      <c r="F27" s="4">
        <f>('Owner Occupier'!$H$24-'Owner Occupier'!$D$52)/('Owner Occupier'!$D$56-'Owner Occupier'!$D$52)*B27</f>
        <v>256.71777032409585</v>
      </c>
      <c r="G27" s="4">
        <f t="shared" si="2"/>
        <v>5917.523839710565</v>
      </c>
    </row>
    <row r="28" spans="1:7" x14ac:dyDescent="0.25">
      <c r="A28">
        <v>25</v>
      </c>
      <c r="B28" s="4">
        <f>-PPMT('Owner Occupier'!$D$41/12,'FHA Amotization'!$A28,360,'Owner Occupier'!$D$40,0,0)</f>
        <v>542.70226847413392</v>
      </c>
      <c r="C28" s="4">
        <f>-IPMT('Owner Occupier'!$D$41/12,'FHA Amotization'!$A28,360,'Owner Occupier'!$D$40,0,0)</f>
        <v>1237.4577401702584</v>
      </c>
      <c r="D28" s="4">
        <f t="shared" si="0"/>
        <v>1780.1600086443923</v>
      </c>
      <c r="E28" s="3">
        <f t="shared" si="1"/>
        <v>348857.13025018713</v>
      </c>
      <c r="F28" s="4">
        <f>('Owner Occupier'!$H$24-'Owner Occupier'!$D$52)/('Owner Occupier'!$D$56-'Owner Occupier'!$D$52)*B28</f>
        <v>257.62697909399367</v>
      </c>
      <c r="G28" s="4">
        <f t="shared" si="2"/>
        <v>6175.1508188045591</v>
      </c>
    </row>
    <row r="29" spans="1:7" x14ac:dyDescent="0.25">
      <c r="A29">
        <v>26</v>
      </c>
      <c r="B29" s="4">
        <f>-PPMT('Owner Occupier'!$D$41/12,'FHA Amotization'!$A29,360,'Owner Occupier'!$D$40,0,0)</f>
        <v>544.6243390083132</v>
      </c>
      <c r="C29" s="4">
        <f>-IPMT('Owner Occupier'!$D$41/12,'FHA Amotization'!$A29,360,'Owner Occupier'!$D$40,0,0)</f>
        <v>1235.5356696360791</v>
      </c>
      <c r="D29" s="4">
        <f t="shared" si="0"/>
        <v>1780.1600086443923</v>
      </c>
      <c r="E29" s="3">
        <f t="shared" si="1"/>
        <v>348312.50591117883</v>
      </c>
      <c r="F29" s="4">
        <f>('Owner Occupier'!$H$24-'Owner Occupier'!$D$52)/('Owner Occupier'!$D$56-'Owner Occupier'!$D$52)*B29</f>
        <v>258.53940797828488</v>
      </c>
      <c r="G29" s="4">
        <f t="shared" si="2"/>
        <v>6433.6902267828436</v>
      </c>
    </row>
    <row r="30" spans="1:7" x14ac:dyDescent="0.25">
      <c r="A30">
        <v>27</v>
      </c>
      <c r="B30" s="4">
        <f>-PPMT('Owner Occupier'!$D$41/12,'FHA Amotization'!$A30,360,'Owner Occupier'!$D$40,0,0)</f>
        <v>546.55321687563423</v>
      </c>
      <c r="C30" s="4">
        <f>-IPMT('Owner Occupier'!$D$41/12,'FHA Amotization'!$A30,360,'Owner Occupier'!$D$40,0,0)</f>
        <v>1233.6067917687581</v>
      </c>
      <c r="D30" s="4">
        <f t="shared" si="0"/>
        <v>1780.1600086443923</v>
      </c>
      <c r="E30" s="3">
        <f t="shared" si="1"/>
        <v>347765.95269430318</v>
      </c>
      <c r="F30" s="4">
        <f>('Owner Occupier'!$H$24-'Owner Occupier'!$D$52)/('Owner Occupier'!$D$56-'Owner Occupier'!$D$52)*B30</f>
        <v>259.45506838154131</v>
      </c>
      <c r="G30" s="4">
        <f t="shared" si="2"/>
        <v>6693.1452951643851</v>
      </c>
    </row>
    <row r="31" spans="1:7" x14ac:dyDescent="0.25">
      <c r="A31">
        <v>28</v>
      </c>
      <c r="B31" s="4">
        <f>-PPMT('Owner Occupier'!$D$41/12,'FHA Amotization'!$A31,360,'Owner Occupier'!$D$40,0,0)</f>
        <v>548.48892618540208</v>
      </c>
      <c r="C31" s="4">
        <f>-IPMT('Owner Occupier'!$D$41/12,'FHA Amotization'!$A31,360,'Owner Occupier'!$D$40,0,0)</f>
        <v>1231.67108245899</v>
      </c>
      <c r="D31" s="4">
        <f t="shared" si="0"/>
        <v>1780.1600086443921</v>
      </c>
      <c r="E31" s="3">
        <f t="shared" si="1"/>
        <v>347217.46376811777</v>
      </c>
      <c r="F31" s="4">
        <f>('Owner Occupier'!$H$24-'Owner Occupier'!$D$52)/('Owner Occupier'!$D$56-'Owner Occupier'!$D$52)*B31</f>
        <v>260.37397174872592</v>
      </c>
      <c r="G31" s="4">
        <f t="shared" si="2"/>
        <v>6953.5192669131111</v>
      </c>
    </row>
    <row r="32" spans="1:7" x14ac:dyDescent="0.25">
      <c r="A32">
        <v>29</v>
      </c>
      <c r="B32" s="4">
        <f>-PPMT('Owner Occupier'!$D$41/12,'FHA Amotization'!$A32,360,'Owner Occupier'!$D$40,0,0)</f>
        <v>550.43149113230868</v>
      </c>
      <c r="C32" s="4">
        <f>-IPMT('Owner Occupier'!$D$41/12,'FHA Amotization'!$A32,360,'Owner Occupier'!$D$40,0,0)</f>
        <v>1229.7285175120835</v>
      </c>
      <c r="D32" s="4">
        <f t="shared" si="0"/>
        <v>1780.1600086443923</v>
      </c>
      <c r="E32" s="3">
        <f t="shared" si="1"/>
        <v>346667.03227698547</v>
      </c>
      <c r="F32" s="4">
        <f>('Owner Occupier'!$H$24-'Owner Occupier'!$D$52)/('Owner Occupier'!$D$56-'Owner Occupier'!$D$52)*B32</f>
        <v>261.29612956533595</v>
      </c>
      <c r="G32" s="4">
        <f t="shared" si="2"/>
        <v>7214.8153964784469</v>
      </c>
    </row>
    <row r="33" spans="1:7" x14ac:dyDescent="0.25">
      <c r="A33">
        <v>30</v>
      </c>
      <c r="B33" s="4">
        <f>-PPMT('Owner Occupier'!$D$41/12,'FHA Amotization'!$A33,360,'Owner Occupier'!$D$40,0,0)</f>
        <v>552.38093599673562</v>
      </c>
      <c r="C33" s="4">
        <f>-IPMT('Owner Occupier'!$D$41/12,'FHA Amotization'!$A33,360,'Owner Occupier'!$D$40,0,0)</f>
        <v>1227.7790726476564</v>
      </c>
      <c r="D33" s="4">
        <f t="shared" si="0"/>
        <v>1780.1600086443921</v>
      </c>
      <c r="E33" s="3">
        <f t="shared" si="1"/>
        <v>346114.65134098876</v>
      </c>
      <c r="F33" s="4">
        <f>('Owner Occupier'!$H$24-'Owner Occupier'!$D$52)/('Owner Occupier'!$D$56-'Owner Occupier'!$D$52)*B33</f>
        <v>262.22155335754655</v>
      </c>
      <c r="G33" s="4">
        <f t="shared" si="2"/>
        <v>7477.0369498359933</v>
      </c>
    </row>
    <row r="34" spans="1:7" x14ac:dyDescent="0.25">
      <c r="A34">
        <v>31</v>
      </c>
      <c r="B34" s="4">
        <f>-PPMT('Owner Occupier'!$D$41/12,'FHA Amotization'!$A34,360,'Owner Occupier'!$D$40,0,0)</f>
        <v>554.33728514505742</v>
      </c>
      <c r="C34" s="4">
        <f>-IPMT('Owner Occupier'!$D$41/12,'FHA Amotization'!$A34,360,'Owner Occupier'!$D$40,0,0)</f>
        <v>1225.8227234993349</v>
      </c>
      <c r="D34" s="4">
        <f t="shared" si="0"/>
        <v>1780.1600086443923</v>
      </c>
      <c r="E34" s="3">
        <f t="shared" si="1"/>
        <v>345560.31405584369</v>
      </c>
      <c r="F34" s="4">
        <f>('Owner Occupier'!$H$24-'Owner Occupier'!$D$52)/('Owner Occupier'!$D$56-'Owner Occupier'!$D$52)*B34</f>
        <v>263.15025469235451</v>
      </c>
      <c r="G34" s="4">
        <f t="shared" si="2"/>
        <v>7740.187204528348</v>
      </c>
    </row>
    <row r="35" spans="1:7" x14ac:dyDescent="0.25">
      <c r="A35">
        <v>32</v>
      </c>
      <c r="B35" s="4">
        <f>-PPMT('Owner Occupier'!$D$41/12,'FHA Amotization'!$A35,360,'Owner Occupier'!$D$40,0,0)</f>
        <v>556.30056302994615</v>
      </c>
      <c r="C35" s="4">
        <f>-IPMT('Owner Occupier'!$D$41/12,'FHA Amotization'!$A35,360,'Owner Occupier'!$D$40,0,0)</f>
        <v>1223.859445614446</v>
      </c>
      <c r="D35" s="4">
        <f t="shared" si="0"/>
        <v>1780.1600086443923</v>
      </c>
      <c r="E35" s="3">
        <f t="shared" si="1"/>
        <v>345004.01349281374</v>
      </c>
      <c r="F35" s="4">
        <f>('Owner Occupier'!$H$24-'Owner Occupier'!$D$52)/('Owner Occupier'!$D$56-'Owner Occupier'!$D$52)*B35</f>
        <v>264.08224517772328</v>
      </c>
      <c r="G35" s="4">
        <f t="shared" si="2"/>
        <v>8004.2694497060711</v>
      </c>
    </row>
    <row r="36" spans="1:7" x14ac:dyDescent="0.25">
      <c r="A36">
        <v>33</v>
      </c>
      <c r="B36" s="4">
        <f>-PPMT('Owner Occupier'!$D$41/12,'FHA Amotization'!$A36,360,'Owner Occupier'!$D$40,0,0)</f>
        <v>558.27079419067718</v>
      </c>
      <c r="C36" s="4">
        <f>-IPMT('Owner Occupier'!$D$41/12,'FHA Amotization'!$A36,360,'Owner Occupier'!$D$40,0,0)</f>
        <v>1221.8892144537151</v>
      </c>
      <c r="D36" s="4">
        <f t="shared" si="0"/>
        <v>1780.1600086443923</v>
      </c>
      <c r="E36" s="3">
        <f t="shared" si="1"/>
        <v>344445.74269862304</v>
      </c>
      <c r="F36" s="4">
        <f>('Owner Occupier'!$H$24-'Owner Occupier'!$D$52)/('Owner Occupier'!$D$56-'Owner Occupier'!$D$52)*B36</f>
        <v>265.01753646272772</v>
      </c>
      <c r="G36" s="4">
        <f t="shared" si="2"/>
        <v>8269.2869861687996</v>
      </c>
    </row>
    <row r="37" spans="1:7" x14ac:dyDescent="0.25">
      <c r="A37">
        <v>34</v>
      </c>
      <c r="B37" s="4">
        <f>-PPMT('Owner Occupier'!$D$41/12,'FHA Amotization'!$A37,360,'Owner Occupier'!$D$40,0,0)</f>
        <v>560.24800325343585</v>
      </c>
      <c r="C37" s="4">
        <f>-IPMT('Owner Occupier'!$D$41/12,'FHA Amotization'!$A37,360,'Owner Occupier'!$D$40,0,0)</f>
        <v>1219.9120053909562</v>
      </c>
      <c r="D37" s="4">
        <f t="shared" si="0"/>
        <v>1780.1600086443921</v>
      </c>
      <c r="E37" s="3">
        <f t="shared" si="1"/>
        <v>343885.49469536962</v>
      </c>
      <c r="F37" s="4">
        <f>('Owner Occupier'!$H$24-'Owner Occupier'!$D$52)/('Owner Occupier'!$D$56-'Owner Occupier'!$D$52)*B37</f>
        <v>265.95614023769986</v>
      </c>
      <c r="G37" s="4">
        <f t="shared" si="2"/>
        <v>8535.2431264064999</v>
      </c>
    </row>
    <row r="38" spans="1:7" x14ac:dyDescent="0.25">
      <c r="A38">
        <v>35</v>
      </c>
      <c r="B38" s="4">
        <f>-PPMT('Owner Occupier'!$D$41/12,'FHA Amotization'!$A38,360,'Owner Occupier'!$D$40,0,0)</f>
        <v>562.23221493162509</v>
      </c>
      <c r="C38" s="4">
        <f>-IPMT('Owner Occupier'!$D$41/12,'FHA Amotization'!$A38,360,'Owner Occupier'!$D$40,0,0)</f>
        <v>1217.927793712767</v>
      </c>
      <c r="D38" s="4">
        <f t="shared" si="0"/>
        <v>1780.1600086443921</v>
      </c>
      <c r="E38" s="3">
        <f t="shared" si="1"/>
        <v>343323.26248043799</v>
      </c>
      <c r="F38" s="4">
        <f>('Owner Occupier'!$H$24-'Owner Occupier'!$D$52)/('Owner Occupier'!$D$56-'Owner Occupier'!$D$52)*B38</f>
        <v>266.89806823437505</v>
      </c>
      <c r="G38" s="4">
        <f t="shared" si="2"/>
        <v>8802.1411946408753</v>
      </c>
    </row>
    <row r="39" spans="1:7" x14ac:dyDescent="0.25">
      <c r="A39">
        <v>36</v>
      </c>
      <c r="B39" s="4">
        <f>-PPMT('Owner Occupier'!$D$41/12,'FHA Amotization'!$A39,360,'Owner Occupier'!$D$40,0,0)</f>
        <v>564.22345402617464</v>
      </c>
      <c r="C39" s="4">
        <f>-IPMT('Owner Occupier'!$D$41/12,'FHA Amotization'!$A39,360,'Owner Occupier'!$D$40,0,0)</f>
        <v>1215.9365546182175</v>
      </c>
      <c r="D39" s="4">
        <f t="shared" si="0"/>
        <v>1780.1600086443923</v>
      </c>
      <c r="E39" s="3">
        <f t="shared" si="1"/>
        <v>342759.03902641183</v>
      </c>
      <c r="F39" s="4">
        <f>('Owner Occupier'!$H$24-'Owner Occupier'!$D$52)/('Owner Occupier'!$D$56-'Owner Occupier'!$D$52)*B39</f>
        <v>267.84333222603846</v>
      </c>
      <c r="G39" s="4">
        <f t="shared" si="2"/>
        <v>9069.9845268669142</v>
      </c>
    </row>
    <row r="40" spans="1:7" x14ac:dyDescent="0.25">
      <c r="A40">
        <v>37</v>
      </c>
      <c r="B40" s="4">
        <f>-PPMT('Owner Occupier'!$D$41/12,'FHA Amotization'!$A40,360,'Owner Occupier'!$D$40,0,0)</f>
        <v>566.22174542585071</v>
      </c>
      <c r="C40" s="4">
        <f>-IPMT('Owner Occupier'!$D$41/12,'FHA Amotization'!$A40,360,'Owner Occupier'!$D$40,0,0)</f>
        <v>1213.9382632185416</v>
      </c>
      <c r="D40" s="4">
        <f t="shared" si="0"/>
        <v>1780.1600086443923</v>
      </c>
      <c r="E40" s="3">
        <f t="shared" si="1"/>
        <v>342192.817280986</v>
      </c>
      <c r="F40" s="4">
        <f>('Owner Occupier'!$H$24-'Owner Occupier'!$D$52)/('Owner Occupier'!$D$56-'Owner Occupier'!$D$52)*B40</f>
        <v>268.7919440276724</v>
      </c>
      <c r="G40" s="4">
        <f t="shared" si="2"/>
        <v>9338.776470894587</v>
      </c>
    </row>
    <row r="41" spans="1:7" x14ac:dyDescent="0.25">
      <c r="A41">
        <v>38</v>
      </c>
      <c r="B41" s="4">
        <f>-PPMT('Owner Occupier'!$D$41/12,'FHA Amotization'!$A41,360,'Owner Occupier'!$D$40,0,0)</f>
        <v>568.22711410756722</v>
      </c>
      <c r="C41" s="4">
        <f>-IPMT('Owner Occupier'!$D$41/12,'FHA Amotization'!$A41,360,'Owner Occupier'!$D$40,0,0)</f>
        <v>1211.9328945368252</v>
      </c>
      <c r="D41" s="4">
        <f t="shared" si="0"/>
        <v>1780.1600086443923</v>
      </c>
      <c r="E41" s="3">
        <f t="shared" si="1"/>
        <v>341624.59016687842</v>
      </c>
      <c r="F41" s="4">
        <f>('Owner Occupier'!$H$24-'Owner Occupier'!$D$52)/('Owner Occupier'!$D$56-'Owner Occupier'!$D$52)*B41</f>
        <v>269.74391549610368</v>
      </c>
      <c r="G41" s="4">
        <f t="shared" si="2"/>
        <v>9608.52038639069</v>
      </c>
    </row>
    <row r="42" spans="1:7" x14ac:dyDescent="0.25">
      <c r="A42">
        <v>39</v>
      </c>
      <c r="B42" s="4">
        <f>-PPMT('Owner Occupier'!$D$41/12,'FHA Amotization'!$A42,360,'Owner Occupier'!$D$40,0,0)</f>
        <v>570.23958513669811</v>
      </c>
      <c r="C42" s="4">
        <f>-IPMT('Owner Occupier'!$D$41/12,'FHA Amotization'!$A42,360,'Owner Occupier'!$D$40,0,0)</f>
        <v>1209.9204235076943</v>
      </c>
      <c r="D42" s="4">
        <f t="shared" si="0"/>
        <v>1780.1600086443923</v>
      </c>
      <c r="E42" s="3">
        <f t="shared" si="1"/>
        <v>341054.35058174172</v>
      </c>
      <c r="F42" s="4">
        <f>('Owner Occupier'!$H$24-'Owner Occupier'!$D$52)/('Owner Occupier'!$D$56-'Owner Occupier'!$D$52)*B42</f>
        <v>270.69925853015235</v>
      </c>
      <c r="G42" s="4">
        <f t="shared" si="2"/>
        <v>9879.2196449208423</v>
      </c>
    </row>
    <row r="43" spans="1:7" x14ac:dyDescent="0.25">
      <c r="A43">
        <v>40</v>
      </c>
      <c r="B43" s="4">
        <f>-PPMT('Owner Occupier'!$D$41/12,'FHA Amotization'!$A43,360,'Owner Occupier'!$D$40,0,0)</f>
        <v>572.25918366739063</v>
      </c>
      <c r="C43" s="4">
        <f>-IPMT('Owner Occupier'!$D$41/12,'FHA Amotization'!$A43,360,'Owner Occupier'!$D$40,0,0)</f>
        <v>1207.9008249770015</v>
      </c>
      <c r="D43" s="4">
        <f t="shared" si="0"/>
        <v>1780.1600086443923</v>
      </c>
      <c r="E43" s="3">
        <f t="shared" si="1"/>
        <v>340482.09139807435</v>
      </c>
      <c r="F43" s="4">
        <f>('Owner Occupier'!$H$24-'Owner Occupier'!$D$52)/('Owner Occupier'!$D$56-'Owner Occupier'!$D$52)*B43</f>
        <v>271.65798507078</v>
      </c>
      <c r="G43" s="4">
        <f t="shared" si="2"/>
        <v>10150.877629991623</v>
      </c>
    </row>
    <row r="44" spans="1:7" x14ac:dyDescent="0.25">
      <c r="A44">
        <v>41</v>
      </c>
      <c r="B44" s="4">
        <f>-PPMT('Owner Occupier'!$D$41/12,'FHA Amotization'!$A44,360,'Owner Occupier'!$D$40,0,0)</f>
        <v>574.28593494287929</v>
      </c>
      <c r="C44" s="4">
        <f>-IPMT('Owner Occupier'!$D$41/12,'FHA Amotization'!$A44,360,'Owner Occupier'!$D$40,0,0)</f>
        <v>1205.874073701513</v>
      </c>
      <c r="D44" s="4">
        <f t="shared" si="0"/>
        <v>1780.1600086443923</v>
      </c>
      <c r="E44" s="3">
        <f t="shared" si="1"/>
        <v>339907.80546313146</v>
      </c>
      <c r="F44" s="4">
        <f>('Owner Occupier'!$H$24-'Owner Occupier'!$D$52)/('Owner Occupier'!$D$56-'Owner Occupier'!$D$52)*B44</f>
        <v>272.620107101239</v>
      </c>
      <c r="G44" s="4">
        <f t="shared" si="2"/>
        <v>10423.497737092861</v>
      </c>
    </row>
    <row r="45" spans="1:7" x14ac:dyDescent="0.25">
      <c r="A45">
        <v>42</v>
      </c>
      <c r="B45" s="4">
        <f>-PPMT('Owner Occupier'!$D$41/12,'FHA Amotization'!$A45,360,'Owner Occupier'!$D$40,0,0)</f>
        <v>576.31986429580206</v>
      </c>
      <c r="C45" s="4">
        <f>-IPMT('Owner Occupier'!$D$41/12,'FHA Amotization'!$A45,360,'Owner Occupier'!$D$40,0,0)</f>
        <v>1203.8401443485902</v>
      </c>
      <c r="D45" s="4">
        <f t="shared" si="0"/>
        <v>1780.1600086443923</v>
      </c>
      <c r="E45" s="3">
        <f t="shared" si="1"/>
        <v>339331.48559883563</v>
      </c>
      <c r="F45" s="4">
        <f>('Owner Occupier'!$H$24-'Owner Occupier'!$D$52)/('Owner Occupier'!$D$56-'Owner Occupier'!$D$52)*B45</f>
        <v>273.5856366472226</v>
      </c>
      <c r="G45" s="4">
        <f t="shared" si="2"/>
        <v>10697.083373740083</v>
      </c>
    </row>
    <row r="46" spans="1:7" x14ac:dyDescent="0.25">
      <c r="A46">
        <v>43</v>
      </c>
      <c r="B46" s="4">
        <f>-PPMT('Owner Occupier'!$D$41/12,'FHA Amotization'!$A46,360,'Owner Occupier'!$D$40,0,0)</f>
        <v>578.36099714851628</v>
      </c>
      <c r="C46" s="4">
        <f>-IPMT('Owner Occupier'!$D$41/12,'FHA Amotization'!$A46,360,'Owner Occupier'!$D$40,0,0)</f>
        <v>1201.7990114958759</v>
      </c>
      <c r="D46" s="4">
        <f t="shared" si="0"/>
        <v>1780.1600086443923</v>
      </c>
      <c r="E46" s="3">
        <f t="shared" si="1"/>
        <v>338753.12460168713</v>
      </c>
      <c r="F46" s="4">
        <f>('Owner Occupier'!$H$24-'Owner Occupier'!$D$52)/('Owner Occupier'!$D$56-'Owner Occupier'!$D$52)*B46</f>
        <v>274.55458577701484</v>
      </c>
      <c r="G46" s="4">
        <f t="shared" si="2"/>
        <v>10971.637959517098</v>
      </c>
    </row>
    <row r="47" spans="1:7" x14ac:dyDescent="0.25">
      <c r="A47">
        <v>44</v>
      </c>
      <c r="B47" s="4">
        <f>-PPMT('Owner Occupier'!$D$41/12,'FHA Amotization'!$A47,360,'Owner Occupier'!$D$40,0,0)</f>
        <v>580.40935901341743</v>
      </c>
      <c r="C47" s="4">
        <f>-IPMT('Owner Occupier'!$D$41/12,'FHA Amotization'!$A47,360,'Owner Occupier'!$D$40,0,0)</f>
        <v>1199.750649630975</v>
      </c>
      <c r="D47" s="4">
        <f t="shared" si="0"/>
        <v>1780.1600086443923</v>
      </c>
      <c r="E47" s="3">
        <f t="shared" si="1"/>
        <v>338172.7152426737</v>
      </c>
      <c r="F47" s="4">
        <f>('Owner Occupier'!$H$24-'Owner Occupier'!$D$52)/('Owner Occupier'!$D$56-'Owner Occupier'!$D$52)*B47</f>
        <v>275.52696660164179</v>
      </c>
      <c r="G47" s="4">
        <f t="shared" si="2"/>
        <v>11247.164926118739</v>
      </c>
    </row>
    <row r="48" spans="1:7" x14ac:dyDescent="0.25">
      <c r="A48">
        <v>45</v>
      </c>
      <c r="B48" s="4">
        <f>-PPMT('Owner Occupier'!$D$41/12,'FHA Amotization'!$A48,360,'Owner Occupier'!$D$40,0,0)</f>
        <v>582.46497549325647</v>
      </c>
      <c r="C48" s="4">
        <f>-IPMT('Owner Occupier'!$D$41/12,'FHA Amotization'!$A48,360,'Owner Occupier'!$D$40,0,0)</f>
        <v>1197.6950331511359</v>
      </c>
      <c r="D48" s="4">
        <f t="shared" si="0"/>
        <v>1780.1600086443923</v>
      </c>
      <c r="E48" s="3">
        <f t="shared" si="1"/>
        <v>337590.25026718044</v>
      </c>
      <c r="F48" s="4">
        <f>('Owner Occupier'!$H$24-'Owner Occupier'!$D$52)/('Owner Occupier'!$D$56-'Owner Occupier'!$D$52)*B48</f>
        <v>276.50279127502256</v>
      </c>
      <c r="G48" s="4">
        <f t="shared" si="2"/>
        <v>11523.667717393762</v>
      </c>
    </row>
    <row r="49" spans="1:7" x14ac:dyDescent="0.25">
      <c r="A49">
        <v>46</v>
      </c>
      <c r="B49" s="4">
        <f>-PPMT('Owner Occupier'!$D$41/12,'FHA Amotization'!$A49,360,'Owner Occupier'!$D$40,0,0)</f>
        <v>584.5278722814619</v>
      </c>
      <c r="C49" s="4">
        <f>-IPMT('Owner Occupier'!$D$41/12,'FHA Amotization'!$A49,360,'Owner Occupier'!$D$40,0,0)</f>
        <v>1195.6321363629304</v>
      </c>
      <c r="D49" s="4">
        <f t="shared" si="0"/>
        <v>1780.1600086443923</v>
      </c>
      <c r="E49" s="3">
        <f t="shared" si="1"/>
        <v>337005.722394899</v>
      </c>
      <c r="F49" s="4">
        <f>('Owner Occupier'!$H$24-'Owner Occupier'!$D$52)/('Owner Occupier'!$D$56-'Owner Occupier'!$D$52)*B49</f>
        <v>277.48207199412167</v>
      </c>
      <c r="G49" s="4">
        <f t="shared" si="2"/>
        <v>11801.149789387884</v>
      </c>
    </row>
    <row r="50" spans="1:7" x14ac:dyDescent="0.25">
      <c r="A50">
        <v>47</v>
      </c>
      <c r="B50" s="4">
        <f>-PPMT('Owner Occupier'!$D$41/12,'FHA Amotization'!$A50,360,'Owner Occupier'!$D$40,0,0)</f>
        <v>586.5980751624586</v>
      </c>
      <c r="C50" s="4">
        <f>-IPMT('Owner Occupier'!$D$41/12,'FHA Amotization'!$A50,360,'Owner Occupier'!$D$40,0,0)</f>
        <v>1193.5619334819337</v>
      </c>
      <c r="D50" s="4">
        <f t="shared" si="0"/>
        <v>1780.1600086443923</v>
      </c>
      <c r="E50" s="3">
        <f t="shared" si="1"/>
        <v>336419.12431973655</v>
      </c>
      <c r="F50" s="4">
        <f>('Owner Occupier'!$H$24-'Owner Occupier'!$D$52)/('Owner Occupier'!$D$56-'Owner Occupier'!$D$52)*B50</f>
        <v>278.46482099910077</v>
      </c>
      <c r="G50" s="4">
        <f t="shared" si="2"/>
        <v>12079.614610386985</v>
      </c>
    </row>
    <row r="51" spans="1:7" x14ac:dyDescent="0.25">
      <c r="A51">
        <v>48</v>
      </c>
      <c r="B51" s="4">
        <f>-PPMT('Owner Occupier'!$D$41/12,'FHA Amotization'!$A51,360,'Owner Occupier'!$D$40,0,0)</f>
        <v>588.67561001199238</v>
      </c>
      <c r="C51" s="4">
        <f>-IPMT('Owner Occupier'!$D$41/12,'FHA Amotization'!$A51,360,'Owner Occupier'!$D$40,0,0)</f>
        <v>1191.4843986323999</v>
      </c>
      <c r="D51" s="4">
        <f t="shared" si="0"/>
        <v>1780.1600086443923</v>
      </c>
      <c r="E51" s="3">
        <f t="shared" si="1"/>
        <v>335830.44870972459</v>
      </c>
      <c r="F51" s="4">
        <f>('Owner Occupier'!$H$24-'Owner Occupier'!$D$52)/('Owner Occupier'!$D$56-'Owner Occupier'!$D$52)*B51</f>
        <v>279.45105057347263</v>
      </c>
      <c r="G51" s="4">
        <f t="shared" si="2"/>
        <v>12359.065660960458</v>
      </c>
    </row>
    <row r="52" spans="1:7" x14ac:dyDescent="0.25">
      <c r="A52">
        <v>49</v>
      </c>
      <c r="B52" s="4">
        <f>-PPMT('Owner Occupier'!$D$41/12,'FHA Amotization'!$A52,360,'Owner Occupier'!$D$40,0,0)</f>
        <v>590.76050279745141</v>
      </c>
      <c r="C52" s="4">
        <f>-IPMT('Owner Occupier'!$D$41/12,'FHA Amotization'!$A52,360,'Owner Occupier'!$D$40,0,0)</f>
        <v>1189.3995058469407</v>
      </c>
      <c r="D52" s="4">
        <f t="shared" si="0"/>
        <v>1780.1600086443921</v>
      </c>
      <c r="E52" s="3">
        <f t="shared" si="1"/>
        <v>335239.68820692715</v>
      </c>
      <c r="F52" s="4">
        <f>('Owner Occupier'!$H$24-'Owner Occupier'!$D$52)/('Owner Occupier'!$D$56-'Owner Occupier'!$D$52)*B52</f>
        <v>280.4407730442536</v>
      </c>
      <c r="G52" s="4">
        <f t="shared" si="2"/>
        <v>12639.506434004712</v>
      </c>
    </row>
    <row r="53" spans="1:7" x14ac:dyDescent="0.25">
      <c r="A53">
        <v>50</v>
      </c>
      <c r="B53" s="4">
        <f>-PPMT('Owner Occupier'!$D$41/12,'FHA Amotization'!$A53,360,'Owner Occupier'!$D$40,0,0)</f>
        <v>592.85277957819255</v>
      </c>
      <c r="C53" s="4">
        <f>-IPMT('Owner Occupier'!$D$41/12,'FHA Amotization'!$A53,360,'Owner Occupier'!$D$40,0,0)</f>
        <v>1187.3072290661999</v>
      </c>
      <c r="D53" s="4">
        <f t="shared" si="0"/>
        <v>1780.1600086443923</v>
      </c>
      <c r="E53" s="3">
        <f t="shared" si="1"/>
        <v>334646.83542734897</v>
      </c>
      <c r="F53" s="4">
        <f>('Owner Occupier'!$H$24-'Owner Occupier'!$D$52)/('Owner Occupier'!$D$56-'Owner Occupier'!$D$52)*B53</f>
        <v>281.4340007821188</v>
      </c>
      <c r="G53" s="4">
        <f t="shared" si="2"/>
        <v>12920.940434786831</v>
      </c>
    </row>
    <row r="54" spans="1:7" x14ac:dyDescent="0.25">
      <c r="A54">
        <v>51</v>
      </c>
      <c r="B54" s="4">
        <f>-PPMT('Owner Occupier'!$D$41/12,'FHA Amotization'!$A54,360,'Owner Occupier'!$D$40,0,0)</f>
        <v>594.95246650586523</v>
      </c>
      <c r="C54" s="4">
        <f>-IPMT('Owner Occupier'!$D$41/12,'FHA Amotization'!$A54,360,'Owner Occupier'!$D$40,0,0)</f>
        <v>1185.2075421385273</v>
      </c>
      <c r="D54" s="4">
        <f t="shared" si="0"/>
        <v>1780.1600086443925</v>
      </c>
      <c r="E54" s="3">
        <f t="shared" si="1"/>
        <v>334051.8829608431</v>
      </c>
      <c r="F54" s="4">
        <f>('Owner Occupier'!$H$24-'Owner Occupier'!$D$52)/('Owner Occupier'!$D$56-'Owner Occupier'!$D$52)*B54</f>
        <v>282.43074620155539</v>
      </c>
      <c r="G54" s="4">
        <f t="shared" si="2"/>
        <v>13203.371180988386</v>
      </c>
    </row>
    <row r="55" spans="1:7" x14ac:dyDescent="0.25">
      <c r="A55">
        <v>52</v>
      </c>
      <c r="B55" s="4">
        <f>-PPMT('Owner Occupier'!$D$41/12,'FHA Amotization'!$A55,360,'Owner Occupier'!$D$40,0,0)</f>
        <v>597.05958982474021</v>
      </c>
      <c r="C55" s="4">
        <f>-IPMT('Owner Occupier'!$D$41/12,'FHA Amotization'!$A55,360,'Owner Occupier'!$D$40,0,0)</f>
        <v>1183.1004188196521</v>
      </c>
      <c r="D55" s="4">
        <f t="shared" si="0"/>
        <v>1780.1600086443923</v>
      </c>
      <c r="E55" s="3">
        <f t="shared" si="1"/>
        <v>333454.82337101834</v>
      </c>
      <c r="F55" s="4">
        <f>('Owner Occupier'!$H$24-'Owner Occupier'!$D$52)/('Owner Occupier'!$D$56-'Owner Occupier'!$D$52)*B55</f>
        <v>283.43102176101928</v>
      </c>
      <c r="G55" s="4">
        <f t="shared" si="2"/>
        <v>13486.802202749406</v>
      </c>
    </row>
    <row r="56" spans="1:7" x14ac:dyDescent="0.25">
      <c r="A56">
        <v>53</v>
      </c>
      <c r="B56" s="4">
        <f>-PPMT('Owner Occupier'!$D$41/12,'FHA Amotization'!$A56,360,'Owner Occupier'!$D$40,0,0)</f>
        <v>599.17417587203613</v>
      </c>
      <c r="C56" s="4">
        <f>-IPMT('Owner Occupier'!$D$41/12,'FHA Amotization'!$A56,360,'Owner Occupier'!$D$40,0,0)</f>
        <v>1180.9858327723564</v>
      </c>
      <c r="D56" s="4">
        <f t="shared" si="0"/>
        <v>1780.1600086443925</v>
      </c>
      <c r="E56" s="3">
        <f t="shared" si="1"/>
        <v>332855.64919514628</v>
      </c>
      <c r="F56" s="4">
        <f>('Owner Occupier'!$H$24-'Owner Occupier'!$D$52)/('Owner Occupier'!$D$56-'Owner Occupier'!$D$52)*B56</f>
        <v>284.43483996308953</v>
      </c>
      <c r="G56" s="4">
        <f t="shared" si="2"/>
        <v>13771.237042712495</v>
      </c>
    </row>
    <row r="57" spans="1:7" x14ac:dyDescent="0.25">
      <c r="A57">
        <v>54</v>
      </c>
      <c r="B57" s="4">
        <f>-PPMT('Owner Occupier'!$D$41/12,'FHA Amotization'!$A57,360,'Owner Occupier'!$D$40,0,0)</f>
        <v>601.29625107824961</v>
      </c>
      <c r="C57" s="4">
        <f>-IPMT('Owner Occupier'!$D$41/12,'FHA Amotization'!$A57,360,'Owner Occupier'!$D$40,0,0)</f>
        <v>1178.8637575661428</v>
      </c>
      <c r="D57" s="4">
        <f t="shared" si="0"/>
        <v>1780.1600086443923</v>
      </c>
      <c r="E57" s="3">
        <f t="shared" si="1"/>
        <v>332254.35294406803</v>
      </c>
      <c r="F57" s="4">
        <f>('Owner Occupier'!$H$24-'Owner Occupier'!$D$52)/('Owner Occupier'!$D$56-'Owner Occupier'!$D$52)*B57</f>
        <v>285.44221335462549</v>
      </c>
      <c r="G57" s="4">
        <f t="shared" si="2"/>
        <v>14056.67925606712</v>
      </c>
    </row>
    <row r="58" spans="1:7" x14ac:dyDescent="0.25">
      <c r="A58">
        <v>55</v>
      </c>
      <c r="B58" s="4">
        <f>-PPMT('Owner Occupier'!$D$41/12,'FHA Amotization'!$A58,360,'Owner Occupier'!$D$40,0,0)</f>
        <v>603.42584196748498</v>
      </c>
      <c r="C58" s="4">
        <f>-IPMT('Owner Occupier'!$D$41/12,'FHA Amotization'!$A58,360,'Owner Occupier'!$D$40,0,0)</f>
        <v>1176.7341666769071</v>
      </c>
      <c r="D58" s="4">
        <f t="shared" si="0"/>
        <v>1780.1600086443921</v>
      </c>
      <c r="E58" s="3">
        <f t="shared" si="1"/>
        <v>331650.92710210057</v>
      </c>
      <c r="F58" s="4">
        <f>('Owner Occupier'!$H$24-'Owner Occupier'!$D$52)/('Owner Occupier'!$D$56-'Owner Occupier'!$D$52)*B58</f>
        <v>286.45315452692307</v>
      </c>
      <c r="G58" s="4">
        <f t="shared" si="2"/>
        <v>14343.132410594044</v>
      </c>
    </row>
    <row r="59" spans="1:7" x14ac:dyDescent="0.25">
      <c r="A59">
        <v>56</v>
      </c>
      <c r="B59" s="4">
        <f>-PPMT('Owner Occupier'!$D$41/12,'FHA Amotization'!$A59,360,'Owner Occupier'!$D$40,0,0)</f>
        <v>605.56297515778658</v>
      </c>
      <c r="C59" s="4">
        <f>-IPMT('Owner Occupier'!$D$41/12,'FHA Amotization'!$A59,360,'Owner Occupier'!$D$40,0,0)</f>
        <v>1174.5970334866056</v>
      </c>
      <c r="D59" s="4">
        <f t="shared" si="0"/>
        <v>1780.1600086443923</v>
      </c>
      <c r="E59" s="3">
        <f t="shared" si="1"/>
        <v>331045.36412694276</v>
      </c>
      <c r="F59" s="4">
        <f>('Owner Occupier'!$H$24-'Owner Occupier'!$D$52)/('Owner Occupier'!$D$56-'Owner Occupier'!$D$52)*B59</f>
        <v>287.46767611587262</v>
      </c>
      <c r="G59" s="4">
        <f t="shared" si="2"/>
        <v>14630.600086709917</v>
      </c>
    </row>
    <row r="60" spans="1:7" x14ac:dyDescent="0.25">
      <c r="A60">
        <v>57</v>
      </c>
      <c r="B60" s="4">
        <f>-PPMT('Owner Occupier'!$D$41/12,'FHA Amotization'!$A60,360,'Owner Occupier'!$D$40,0,0)</f>
        <v>607.70767736147036</v>
      </c>
      <c r="C60" s="4">
        <f>-IPMT('Owner Occupier'!$D$41/12,'FHA Amotization'!$A60,360,'Owner Occupier'!$D$40,0,0)</f>
        <v>1172.4523312829219</v>
      </c>
      <c r="D60" s="4">
        <f t="shared" si="0"/>
        <v>1780.1600086443923</v>
      </c>
      <c r="E60" s="3">
        <f t="shared" si="1"/>
        <v>330437.65644958126</v>
      </c>
      <c r="F60" s="4">
        <f>('Owner Occupier'!$H$24-'Owner Occupier'!$D$52)/('Owner Occupier'!$D$56-'Owner Occupier'!$D$52)*B60</f>
        <v>288.4857908021163</v>
      </c>
      <c r="G60" s="4">
        <f t="shared" si="2"/>
        <v>14919.085877512034</v>
      </c>
    </row>
    <row r="61" spans="1:7" x14ac:dyDescent="0.25">
      <c r="A61">
        <v>58</v>
      </c>
      <c r="B61" s="4">
        <f>-PPMT('Owner Occupier'!$D$41/12,'FHA Amotization'!$A61,360,'Owner Occupier'!$D$40,0,0)</f>
        <v>609.85997538545894</v>
      </c>
      <c r="C61" s="4">
        <f>-IPMT('Owner Occupier'!$D$41/12,'FHA Amotization'!$A61,360,'Owner Occupier'!$D$40,0,0)</f>
        <v>1170.3000332589331</v>
      </c>
      <c r="D61" s="4">
        <f t="shared" si="0"/>
        <v>1780.1600086443921</v>
      </c>
      <c r="E61" s="3">
        <f t="shared" si="1"/>
        <v>329827.79647419578</v>
      </c>
      <c r="F61" s="4">
        <f>('Owner Occupier'!$H$24-'Owner Occupier'!$D$52)/('Owner Occupier'!$D$56-'Owner Occupier'!$D$52)*B61</f>
        <v>289.50751131120717</v>
      </c>
      <c r="G61" s="4">
        <f t="shared" si="2"/>
        <v>15208.593388823241</v>
      </c>
    </row>
    <row r="62" spans="1:7" x14ac:dyDescent="0.25">
      <c r="A62">
        <v>59</v>
      </c>
      <c r="B62" s="4">
        <f>-PPMT('Owner Occupier'!$D$41/12,'FHA Amotization'!$A62,360,'Owner Occupier'!$D$40,0,0)</f>
        <v>612.01989613161572</v>
      </c>
      <c r="C62" s="4">
        <f>-IPMT('Owner Occupier'!$D$41/12,'FHA Amotization'!$A62,360,'Owner Occupier'!$D$40,0,0)</f>
        <v>1168.1401125127763</v>
      </c>
      <c r="D62" s="4">
        <f t="shared" si="0"/>
        <v>1780.1600086443921</v>
      </c>
      <c r="E62" s="3">
        <f t="shared" si="1"/>
        <v>329215.77657806419</v>
      </c>
      <c r="F62" s="4">
        <f>('Owner Occupier'!$H$24-'Owner Occupier'!$D$52)/('Owner Occupier'!$D$56-'Owner Occupier'!$D$52)*B62</f>
        <v>290.53285041376768</v>
      </c>
      <c r="G62" s="4">
        <f t="shared" si="2"/>
        <v>15499.126239237008</v>
      </c>
    </row>
    <row r="63" spans="1:7" x14ac:dyDescent="0.25">
      <c r="A63">
        <v>60</v>
      </c>
      <c r="B63" s="4">
        <f>-PPMT('Owner Occupier'!$D$41/12,'FHA Amotization'!$A63,360,'Owner Occupier'!$D$40,0,0)</f>
        <v>614.18746659708188</v>
      </c>
      <c r="C63" s="4">
        <f>-IPMT('Owner Occupier'!$D$41/12,'FHA Amotization'!$A63,360,'Owner Occupier'!$D$40,0,0)</f>
        <v>1165.9725420473103</v>
      </c>
      <c r="D63" s="4">
        <f t="shared" si="0"/>
        <v>1780.1600086443923</v>
      </c>
      <c r="E63" s="3">
        <f t="shared" si="1"/>
        <v>328601.58911146712</v>
      </c>
      <c r="F63" s="4">
        <f>('Owner Occupier'!$H$24-'Owner Occupier'!$D$52)/('Owner Occupier'!$D$56-'Owner Occupier'!$D$52)*B63</f>
        <v>291.56182092564978</v>
      </c>
      <c r="G63" s="4">
        <f t="shared" si="2"/>
        <v>15790.688060162658</v>
      </c>
    </row>
    <row r="64" spans="1:7" x14ac:dyDescent="0.25">
      <c r="A64">
        <v>61</v>
      </c>
      <c r="B64" s="4">
        <f>-PPMT('Owner Occupier'!$D$41/12,'FHA Amotization'!$A64,360,'Owner Occupier'!$D$40,0,0)</f>
        <v>616.36271387461318</v>
      </c>
      <c r="C64" s="4">
        <f>-IPMT('Owner Occupier'!$D$41/12,'FHA Amotization'!$A64,360,'Owner Occupier'!$D$40,0,0)</f>
        <v>1163.797294769779</v>
      </c>
      <c r="D64" s="4">
        <f t="shared" si="0"/>
        <v>1780.1600086443923</v>
      </c>
      <c r="E64" s="3">
        <f t="shared" si="1"/>
        <v>327985.22639759252</v>
      </c>
      <c r="F64" s="4">
        <f>('Owner Occupier'!$H$24-'Owner Occupier'!$D$52)/('Owner Occupier'!$D$56-'Owner Occupier'!$D$52)*B64</f>
        <v>292.59443570809475</v>
      </c>
      <c r="G64" s="4">
        <f t="shared" si="2"/>
        <v>16083.282495870753</v>
      </c>
    </row>
    <row r="65" spans="1:7" x14ac:dyDescent="0.25">
      <c r="A65">
        <v>62</v>
      </c>
      <c r="B65" s="4">
        <f>-PPMT('Owner Occupier'!$D$41/12,'FHA Amotization'!$A65,360,'Owner Occupier'!$D$40,0,0)</f>
        <v>618.54566515291913</v>
      </c>
      <c r="C65" s="4">
        <f>-IPMT('Owner Occupier'!$D$41/12,'FHA Amotization'!$A65,360,'Owner Occupier'!$D$40,0,0)</f>
        <v>1161.6143434914729</v>
      </c>
      <c r="D65" s="4">
        <f t="shared" si="0"/>
        <v>1780.1600086443921</v>
      </c>
      <c r="E65" s="3">
        <f t="shared" si="1"/>
        <v>327366.68073243962</v>
      </c>
      <c r="F65" s="4">
        <f>('Owner Occupier'!$H$24-'Owner Occupier'!$D$52)/('Owner Occupier'!$D$56-'Owner Occupier'!$D$52)*B65</f>
        <v>293.63070766789428</v>
      </c>
      <c r="G65" s="4">
        <f t="shared" si="2"/>
        <v>16376.913203538648</v>
      </c>
    </row>
    <row r="66" spans="1:7" x14ac:dyDescent="0.25">
      <c r="A66">
        <v>63</v>
      </c>
      <c r="B66" s="4">
        <f>-PPMT('Owner Occupier'!$D$41/12,'FHA Amotization'!$A66,360,'Owner Occupier'!$D$40,0,0)</f>
        <v>620.73634771700233</v>
      </c>
      <c r="C66" s="4">
        <f>-IPMT('Owner Occupier'!$D$41/12,'FHA Amotization'!$A66,360,'Owner Occupier'!$D$40,0,0)</f>
        <v>1159.4236609273901</v>
      </c>
      <c r="D66" s="4">
        <f t="shared" si="0"/>
        <v>1780.1600086443923</v>
      </c>
      <c r="E66" s="3">
        <f t="shared" si="1"/>
        <v>326745.94438472262</v>
      </c>
      <c r="F66" s="4">
        <f>('Owner Occupier'!$H$24-'Owner Occupier'!$D$52)/('Owner Occupier'!$D$56-'Owner Occupier'!$D$52)*B66</f>
        <v>294.67064975755136</v>
      </c>
      <c r="G66" s="4">
        <f t="shared" si="2"/>
        <v>16671.583853296201</v>
      </c>
    </row>
    <row r="67" spans="1:7" x14ac:dyDescent="0.25">
      <c r="A67">
        <v>64</v>
      </c>
      <c r="B67" s="4">
        <f>-PPMT('Owner Occupier'!$D$41/12,'FHA Amotization'!$A67,360,'Owner Occupier'!$D$40,0,0)</f>
        <v>622.9347889485</v>
      </c>
      <c r="C67" s="4">
        <f>-IPMT('Owner Occupier'!$D$41/12,'FHA Amotization'!$A67,360,'Owner Occupier'!$D$40,0,0)</f>
        <v>1157.2252196958921</v>
      </c>
      <c r="D67" s="4">
        <f t="shared" si="0"/>
        <v>1780.1600086443921</v>
      </c>
      <c r="E67" s="3">
        <f t="shared" si="1"/>
        <v>326123.00959577411</v>
      </c>
      <c r="F67" s="4">
        <f>('Owner Occupier'!$H$24-'Owner Occupier'!$D$52)/('Owner Occupier'!$D$56-'Owner Occupier'!$D$52)*B67</f>
        <v>295.71427497544266</v>
      </c>
      <c r="G67" s="4">
        <f t="shared" si="2"/>
        <v>16967.298128271643</v>
      </c>
    </row>
    <row r="68" spans="1:7" x14ac:dyDescent="0.25">
      <c r="A68">
        <v>65</v>
      </c>
      <c r="B68" s="4">
        <f>-PPMT('Owner Occupier'!$D$41/12,'FHA Amotization'!$A68,360,'Owner Occupier'!$D$40,0,0)</f>
        <v>625.14101632602603</v>
      </c>
      <c r="C68" s="4">
        <f>-IPMT('Owner Occupier'!$D$41/12,'FHA Amotization'!$A68,360,'Owner Occupier'!$D$40,0,0)</f>
        <v>1155.0189923183664</v>
      </c>
      <c r="D68" s="4">
        <f t="shared" si="0"/>
        <v>1780.1600086443923</v>
      </c>
      <c r="E68" s="3">
        <f t="shared" si="1"/>
        <v>325497.86857944808</v>
      </c>
      <c r="F68" s="4">
        <f>('Owner Occupier'!$H$24-'Owner Occupier'!$D$52)/('Owner Occupier'!$D$56-'Owner Occupier'!$D$52)*B68</f>
        <v>296.76159636598078</v>
      </c>
      <c r="G68" s="4">
        <f t="shared" si="2"/>
        <v>17264.059724637624</v>
      </c>
    </row>
    <row r="69" spans="1:7" x14ac:dyDescent="0.25">
      <c r="A69">
        <v>66</v>
      </c>
      <c r="B69" s="4">
        <f>-PPMT('Owner Occupier'!$D$41/12,'FHA Amotization'!$A69,360,'Owner Occupier'!$D$40,0,0)</f>
        <v>627.35505742551402</v>
      </c>
      <c r="C69" s="4">
        <f>-IPMT('Owner Occupier'!$D$41/12,'FHA Amotization'!$A69,360,'Owner Occupier'!$D$40,0,0)</f>
        <v>1152.8049512188782</v>
      </c>
      <c r="D69" s="4">
        <f t="shared" ref="D69:D132" si="3">B69+C69</f>
        <v>1780.1600086443923</v>
      </c>
      <c r="E69" s="3">
        <f t="shared" si="1"/>
        <v>324870.51352202258</v>
      </c>
      <c r="F69" s="4">
        <f>('Owner Occupier'!$H$24-'Owner Occupier'!$D$52)/('Owner Occupier'!$D$56-'Owner Occupier'!$D$52)*B69</f>
        <v>297.81262701977693</v>
      </c>
      <c r="G69" s="4">
        <f t="shared" si="2"/>
        <v>17561.872351657399</v>
      </c>
    </row>
    <row r="70" spans="1:7" x14ac:dyDescent="0.25">
      <c r="A70">
        <v>67</v>
      </c>
      <c r="B70" s="4">
        <f>-PPMT('Owner Occupier'!$D$41/12,'FHA Amotization'!$A70,360,'Owner Occupier'!$D$40,0,0)</f>
        <v>629.57693992056272</v>
      </c>
      <c r="C70" s="4">
        <f>-IPMT('Owner Occupier'!$D$41/12,'FHA Amotization'!$A70,360,'Owner Occupier'!$D$40,0,0)</f>
        <v>1150.5830687238295</v>
      </c>
      <c r="D70" s="4">
        <f t="shared" si="3"/>
        <v>1780.1600086443923</v>
      </c>
      <c r="E70" s="3">
        <f t="shared" ref="E70:E133" si="4">E69-B70</f>
        <v>324240.93658210203</v>
      </c>
      <c r="F70" s="4">
        <f>('Owner Occupier'!$H$24-'Owner Occupier'!$D$52)/('Owner Occupier'!$D$56-'Owner Occupier'!$D$52)*B70</f>
        <v>298.86738007380529</v>
      </c>
      <c r="G70" s="4">
        <f t="shared" ref="G70:G133" si="5">F70+G69</f>
        <v>17860.739731731206</v>
      </c>
    </row>
    <row r="71" spans="1:7" x14ac:dyDescent="0.25">
      <c r="A71">
        <v>68</v>
      </c>
      <c r="B71" s="4">
        <f>-PPMT('Owner Occupier'!$D$41/12,'FHA Amotization'!$A71,360,'Owner Occupier'!$D$40,0,0)</f>
        <v>631.80669158278135</v>
      </c>
      <c r="C71" s="4">
        <f>-IPMT('Owner Occupier'!$D$41/12,'FHA Amotization'!$A71,360,'Owner Occupier'!$D$40,0,0)</f>
        <v>1148.3533170616108</v>
      </c>
      <c r="D71" s="4">
        <f t="shared" si="3"/>
        <v>1780.1600086443923</v>
      </c>
      <c r="E71" s="3">
        <f t="shared" si="4"/>
        <v>323609.12989051925</v>
      </c>
      <c r="F71" s="4">
        <f>('Owner Occupier'!$H$24-'Owner Occupier'!$D$52)/('Owner Occupier'!$D$56-'Owner Occupier'!$D$52)*B71</f>
        <v>299.92586871156669</v>
      </c>
      <c r="G71" s="4">
        <f t="shared" si="5"/>
        <v>18160.665600442771</v>
      </c>
    </row>
    <row r="72" spans="1:7" x14ac:dyDescent="0.25">
      <c r="A72">
        <v>69</v>
      </c>
      <c r="B72" s="4">
        <f>-PPMT('Owner Occupier'!$D$41/12,'FHA Amotization'!$A72,360,'Owner Occupier'!$D$40,0,0)</f>
        <v>634.04434028213711</v>
      </c>
      <c r="C72" s="4">
        <f>-IPMT('Owner Occupier'!$D$41/12,'FHA Amotization'!$A72,360,'Owner Occupier'!$D$40,0,0)</f>
        <v>1146.1156683622551</v>
      </c>
      <c r="D72" s="4">
        <f t="shared" si="3"/>
        <v>1780.1600086443923</v>
      </c>
      <c r="E72" s="3">
        <f t="shared" si="4"/>
        <v>322975.0855502371</v>
      </c>
      <c r="F72" s="4">
        <f>('Owner Occupier'!$H$24-'Owner Occupier'!$D$52)/('Owner Occupier'!$D$56-'Owner Occupier'!$D$52)*B72</f>
        <v>300.98810616325352</v>
      </c>
      <c r="G72" s="4">
        <f t="shared" si="5"/>
        <v>18461.653706606026</v>
      </c>
    </row>
    <row r="73" spans="1:7" x14ac:dyDescent="0.25">
      <c r="A73">
        <v>70</v>
      </c>
      <c r="B73" s="4">
        <f>-PPMT('Owner Occupier'!$D$41/12,'FHA Amotization'!$A73,360,'Owner Occupier'!$D$40,0,0)</f>
        <v>636.28991398730307</v>
      </c>
      <c r="C73" s="4">
        <f>-IPMT('Owner Occupier'!$D$41/12,'FHA Amotization'!$A73,360,'Owner Occupier'!$D$40,0,0)</f>
        <v>1143.8700946570891</v>
      </c>
      <c r="D73" s="4">
        <f t="shared" si="3"/>
        <v>1780.1600086443923</v>
      </c>
      <c r="E73" s="3">
        <f t="shared" si="4"/>
        <v>322338.79563624982</v>
      </c>
      <c r="F73" s="4">
        <f>('Owner Occupier'!$H$24-'Owner Occupier'!$D$52)/('Owner Occupier'!$D$56-'Owner Occupier'!$D$52)*B73</f>
        <v>302.05410570591505</v>
      </c>
      <c r="G73" s="4">
        <f t="shared" si="5"/>
        <v>18763.707812311943</v>
      </c>
    </row>
    <row r="74" spans="1:7" x14ac:dyDescent="0.25">
      <c r="A74">
        <v>71</v>
      </c>
      <c r="B74" s="4">
        <f>-PPMT('Owner Occupier'!$D$41/12,'FHA Amotization'!$A74,360,'Owner Occupier'!$D$40,0,0)</f>
        <v>638.54344076600796</v>
      </c>
      <c r="C74" s="4">
        <f>-IPMT('Owner Occupier'!$D$41/12,'FHA Amotization'!$A74,360,'Owner Occupier'!$D$40,0,0)</f>
        <v>1141.6165678783846</v>
      </c>
      <c r="D74" s="4">
        <f t="shared" si="3"/>
        <v>1780.1600086443925</v>
      </c>
      <c r="E74" s="3">
        <f t="shared" si="4"/>
        <v>321700.25219548383</v>
      </c>
      <c r="F74" s="4">
        <f>('Owner Occupier'!$H$24-'Owner Occupier'!$D$52)/('Owner Occupier'!$D$56-'Owner Occupier'!$D$52)*B74</f>
        <v>303.12388066362342</v>
      </c>
      <c r="G74" s="4">
        <f t="shared" si="5"/>
        <v>19066.831692975567</v>
      </c>
    </row>
    <row r="75" spans="1:7" x14ac:dyDescent="0.25">
      <c r="A75">
        <v>72</v>
      </c>
      <c r="B75" s="4">
        <f>-PPMT('Owner Occupier'!$D$41/12,'FHA Amotization'!$A75,360,'Owner Occupier'!$D$40,0,0)</f>
        <v>640.80494878538764</v>
      </c>
      <c r="C75" s="4">
        <f>-IPMT('Owner Occupier'!$D$41/12,'FHA Amotization'!$A75,360,'Owner Occupier'!$D$40,0,0)</f>
        <v>1139.3550598590045</v>
      </c>
      <c r="D75" s="4">
        <f t="shared" si="3"/>
        <v>1780.1600086443923</v>
      </c>
      <c r="E75" s="3">
        <f t="shared" si="4"/>
        <v>321059.44724669843</v>
      </c>
      <c r="F75" s="4">
        <f>('Owner Occupier'!$H$24-'Owner Occupier'!$D$52)/('Owner Occupier'!$D$56-'Owner Occupier'!$D$52)*B75</f>
        <v>304.19744440764049</v>
      </c>
      <c r="G75" s="4">
        <f t="shared" si="5"/>
        <v>19371.029137383208</v>
      </c>
    </row>
    <row r="76" spans="1:7" x14ac:dyDescent="0.25">
      <c r="A76">
        <v>73</v>
      </c>
      <c r="B76" s="4">
        <f>-PPMT('Owner Occupier'!$D$41/12,'FHA Amotization'!$A76,360,'Owner Occupier'!$D$40,0,0)</f>
        <v>643.07446631233597</v>
      </c>
      <c r="C76" s="4">
        <f>-IPMT('Owner Occupier'!$D$41/12,'FHA Amotization'!$A76,360,'Owner Occupier'!$D$40,0,0)</f>
        <v>1137.0855423320563</v>
      </c>
      <c r="D76" s="4">
        <f t="shared" si="3"/>
        <v>1780.1600086443923</v>
      </c>
      <c r="E76" s="3">
        <f t="shared" si="4"/>
        <v>320416.37278038607</v>
      </c>
      <c r="F76" s="4">
        <f>('Owner Occupier'!$H$24-'Owner Occupier'!$D$52)/('Owner Occupier'!$D$56-'Owner Occupier'!$D$52)*B76</f>
        <v>305.27481035658423</v>
      </c>
      <c r="G76" s="4">
        <f t="shared" si="5"/>
        <v>19676.303947739791</v>
      </c>
    </row>
    <row r="77" spans="1:7" x14ac:dyDescent="0.25">
      <c r="A77">
        <v>74</v>
      </c>
      <c r="B77" s="4">
        <f>-PPMT('Owner Occupier'!$D$41/12,'FHA Amotization'!$A77,360,'Owner Occupier'!$D$40,0,0)</f>
        <v>645.35202171385879</v>
      </c>
      <c r="C77" s="4">
        <f>-IPMT('Owner Occupier'!$D$41/12,'FHA Amotization'!$A77,360,'Owner Occupier'!$D$40,0,0)</f>
        <v>1134.8079869305334</v>
      </c>
      <c r="D77" s="4">
        <f t="shared" si="3"/>
        <v>1780.1600086443923</v>
      </c>
      <c r="E77" s="3">
        <f t="shared" si="4"/>
        <v>319771.02075867221</v>
      </c>
      <c r="F77" s="4">
        <f>('Owner Occupier'!$H$24-'Owner Occupier'!$D$52)/('Owner Occupier'!$D$56-'Owner Occupier'!$D$52)*B77</f>
        <v>306.35599197659712</v>
      </c>
      <c r="G77" s="4">
        <f t="shared" si="5"/>
        <v>19982.659939716388</v>
      </c>
    </row>
    <row r="78" spans="1:7" x14ac:dyDescent="0.25">
      <c r="A78">
        <v>75</v>
      </c>
      <c r="B78" s="4">
        <f>-PPMT('Owner Occupier'!$D$41/12,'FHA Amotization'!$A78,360,'Owner Occupier'!$D$40,0,0)</f>
        <v>647.63764345742857</v>
      </c>
      <c r="C78" s="4">
        <f>-IPMT('Owner Occupier'!$D$41/12,'FHA Amotization'!$A78,360,'Owner Occupier'!$D$40,0,0)</f>
        <v>1132.5223651869635</v>
      </c>
      <c r="D78" s="4">
        <f t="shared" si="3"/>
        <v>1780.1600086443921</v>
      </c>
      <c r="E78" s="3">
        <f t="shared" si="4"/>
        <v>319123.38311521476</v>
      </c>
      <c r="F78" s="4">
        <f>('Owner Occupier'!$H$24-'Owner Occupier'!$D$52)/('Owner Occupier'!$D$56-'Owner Occupier'!$D$52)*B78</f>
        <v>307.44100278151416</v>
      </c>
      <c r="G78" s="4">
        <f t="shared" si="5"/>
        <v>20290.100942497902</v>
      </c>
    </row>
    <row r="79" spans="1:7" x14ac:dyDescent="0.25">
      <c r="A79">
        <v>76</v>
      </c>
      <c r="B79" s="4">
        <f>-PPMT('Owner Occupier'!$D$41/12,'FHA Amotization'!$A79,360,'Owner Occupier'!$D$40,0,0)</f>
        <v>649.93136011134038</v>
      </c>
      <c r="C79" s="4">
        <f>-IPMT('Owner Occupier'!$D$41/12,'FHA Amotization'!$A79,360,'Owner Occupier'!$D$40,0,0)</f>
        <v>1130.2286485330517</v>
      </c>
      <c r="D79" s="4">
        <f t="shared" si="3"/>
        <v>1780.1600086443921</v>
      </c>
      <c r="E79" s="3">
        <f t="shared" si="4"/>
        <v>318473.45175510342</v>
      </c>
      <c r="F79" s="4">
        <f>('Owner Occupier'!$H$24-'Owner Occupier'!$D$52)/('Owner Occupier'!$D$56-'Owner Occupier'!$D$52)*B79</f>
        <v>308.52985633303206</v>
      </c>
      <c r="G79" s="4">
        <f t="shared" si="5"/>
        <v>20598.630798830935</v>
      </c>
    </row>
    <row r="80" spans="1:7" x14ac:dyDescent="0.25">
      <c r="A80">
        <v>77</v>
      </c>
      <c r="B80" s="4">
        <f>-PPMT('Owner Occupier'!$D$41/12,'FHA Amotization'!$A80,360,'Owner Occupier'!$D$40,0,0)</f>
        <v>652.2332003450681</v>
      </c>
      <c r="C80" s="4">
        <f>-IPMT('Owner Occupier'!$D$41/12,'FHA Amotization'!$A80,360,'Owner Occupier'!$D$40,0,0)</f>
        <v>1127.9268082993242</v>
      </c>
      <c r="D80" s="4">
        <f t="shared" si="3"/>
        <v>1780.1600086443923</v>
      </c>
      <c r="E80" s="3">
        <f t="shared" si="4"/>
        <v>317821.21855475835</v>
      </c>
      <c r="F80" s="4">
        <f>('Owner Occupier'!$H$24-'Owner Occupier'!$D$52)/('Owner Occupier'!$D$56-'Owner Occupier'!$D$52)*B80</f>
        <v>309.62256624087826</v>
      </c>
      <c r="G80" s="4">
        <f t="shared" si="5"/>
        <v>20908.253365071814</v>
      </c>
    </row>
    <row r="81" spans="1:7" x14ac:dyDescent="0.25">
      <c r="A81">
        <v>78</v>
      </c>
      <c r="B81" s="4">
        <f>-PPMT('Owner Occupier'!$D$41/12,'FHA Amotization'!$A81,360,'Owner Occupier'!$D$40,0,0)</f>
        <v>654.5431929296235</v>
      </c>
      <c r="C81" s="4">
        <f>-IPMT('Owner Occupier'!$D$41/12,'FHA Amotization'!$A81,360,'Owner Occupier'!$D$40,0,0)</f>
        <v>1125.6168157147686</v>
      </c>
      <c r="D81" s="4">
        <f t="shared" si="3"/>
        <v>1780.1600086443921</v>
      </c>
      <c r="E81" s="3">
        <f t="shared" si="4"/>
        <v>317166.6753618287</v>
      </c>
      <c r="F81" s="4">
        <f>('Owner Occupier'!$H$24-'Owner Occupier'!$D$52)/('Owner Occupier'!$D$56-'Owner Occupier'!$D$52)*B81</f>
        <v>310.71914616298136</v>
      </c>
      <c r="G81" s="4">
        <f t="shared" si="5"/>
        <v>21218.972511234795</v>
      </c>
    </row>
    <row r="82" spans="1:7" x14ac:dyDescent="0.25">
      <c r="A82">
        <v>79</v>
      </c>
      <c r="B82" s="4">
        <f>-PPMT('Owner Occupier'!$D$41/12,'FHA Amotization'!$A82,360,'Owner Occupier'!$D$40,0,0)</f>
        <v>656.86136673791589</v>
      </c>
      <c r="C82" s="4">
        <f>-IPMT('Owner Occupier'!$D$41/12,'FHA Amotization'!$A82,360,'Owner Occupier'!$D$40,0,0)</f>
        <v>1123.2986419064764</v>
      </c>
      <c r="D82" s="4">
        <f t="shared" si="3"/>
        <v>1780.1600086443923</v>
      </c>
      <c r="E82" s="3">
        <f t="shared" si="4"/>
        <v>316509.81399509078</v>
      </c>
      <c r="F82" s="4">
        <f>('Owner Occupier'!$H$24-'Owner Occupier'!$D$52)/('Owner Occupier'!$D$56-'Owner Occupier'!$D$52)*B82</f>
        <v>311.8196098056419</v>
      </c>
      <c r="G82" s="4">
        <f t="shared" si="5"/>
        <v>21530.792121040438</v>
      </c>
    </row>
    <row r="83" spans="1:7" x14ac:dyDescent="0.25">
      <c r="A83">
        <v>80</v>
      </c>
      <c r="B83" s="4">
        <f>-PPMT('Owner Occupier'!$D$41/12,'FHA Amotization'!$A83,360,'Owner Occupier'!$D$40,0,0)</f>
        <v>659.18775074511268</v>
      </c>
      <c r="C83" s="4">
        <f>-IPMT('Owner Occupier'!$D$41/12,'FHA Amotization'!$A83,360,'Owner Occupier'!$D$40,0,0)</f>
        <v>1120.9722578992794</v>
      </c>
      <c r="D83" s="4">
        <f t="shared" si="3"/>
        <v>1780.1600086443921</v>
      </c>
      <c r="E83" s="3">
        <f t="shared" si="4"/>
        <v>315850.62624434568</v>
      </c>
      <c r="F83" s="4">
        <f>('Owner Occupier'!$H$24-'Owner Occupier'!$D$52)/('Owner Occupier'!$D$56-'Owner Occupier'!$D$52)*B83</f>
        <v>312.92397092370356</v>
      </c>
      <c r="G83" s="4">
        <f t="shared" si="5"/>
        <v>21843.716091964143</v>
      </c>
    </row>
    <row r="84" spans="1:7" x14ac:dyDescent="0.25">
      <c r="A84">
        <v>81</v>
      </c>
      <c r="B84" s="4">
        <f>-PPMT('Owner Occupier'!$D$41/12,'FHA Amotization'!$A84,360,'Owner Occupier'!$D$40,0,0)</f>
        <v>661.52237402900164</v>
      </c>
      <c r="C84" s="4">
        <f>-IPMT('Owner Occupier'!$D$41/12,'FHA Amotization'!$A84,360,'Owner Occupier'!$D$40,0,0)</f>
        <v>1118.6376346153904</v>
      </c>
      <c r="D84" s="4">
        <f t="shared" si="3"/>
        <v>1780.1600086443921</v>
      </c>
      <c r="E84" s="3">
        <f t="shared" si="4"/>
        <v>315189.1038703167</v>
      </c>
      <c r="F84" s="4">
        <f>('Owner Occupier'!$H$24-'Owner Occupier'!$D$52)/('Owner Occupier'!$D$56-'Owner Occupier'!$D$52)*B84</f>
        <v>314.032243320725</v>
      </c>
      <c r="G84" s="4">
        <f t="shared" si="5"/>
        <v>22157.748335284869</v>
      </c>
    </row>
    <row r="85" spans="1:7" x14ac:dyDescent="0.25">
      <c r="A85">
        <v>82</v>
      </c>
      <c r="B85" s="4">
        <f>-PPMT('Owner Occupier'!$D$41/12,'FHA Amotization'!$A85,360,'Owner Occupier'!$D$40,0,0)</f>
        <v>663.86526577035431</v>
      </c>
      <c r="C85" s="4">
        <f>-IPMT('Owner Occupier'!$D$41/12,'FHA Amotization'!$A85,360,'Owner Occupier'!$D$40,0,0)</f>
        <v>1116.2947428740379</v>
      </c>
      <c r="D85" s="4">
        <f t="shared" si="3"/>
        <v>1780.1600086443923</v>
      </c>
      <c r="E85" s="3">
        <f t="shared" si="4"/>
        <v>314525.23860454635</v>
      </c>
      <c r="F85" s="4">
        <f>('Owner Occupier'!$H$24-'Owner Occupier'!$D$52)/('Owner Occupier'!$D$56-'Owner Occupier'!$D$52)*B85</f>
        <v>315.14444084915255</v>
      </c>
      <c r="G85" s="4">
        <f t="shared" si="5"/>
        <v>22472.89277613402</v>
      </c>
    </row>
    <row r="86" spans="1:7" x14ac:dyDescent="0.25">
      <c r="A86">
        <v>83</v>
      </c>
      <c r="B86" s="4">
        <f>-PPMT('Owner Occupier'!$D$41/12,'FHA Amotization'!$A86,360,'Owner Occupier'!$D$40,0,0)</f>
        <v>666.21645525329097</v>
      </c>
      <c r="C86" s="4">
        <f>-IPMT('Owner Occupier'!$D$41/12,'FHA Amotization'!$A86,360,'Owner Occupier'!$D$40,0,0)</f>
        <v>1113.9435533911012</v>
      </c>
      <c r="D86" s="4">
        <f t="shared" si="3"/>
        <v>1780.1600086443923</v>
      </c>
      <c r="E86" s="3">
        <f t="shared" si="4"/>
        <v>313859.02214929304</v>
      </c>
      <c r="F86" s="4">
        <f>('Owner Occupier'!$H$24-'Owner Occupier'!$D$52)/('Owner Occupier'!$D$56-'Owner Occupier'!$D$52)*B86</f>
        <v>316.26057741049328</v>
      </c>
      <c r="G86" s="4">
        <f t="shared" si="5"/>
        <v>22789.153353544512</v>
      </c>
    </row>
    <row r="87" spans="1:7" x14ac:dyDescent="0.25">
      <c r="A87">
        <v>84</v>
      </c>
      <c r="B87" s="4">
        <f>-PPMT('Owner Occupier'!$D$41/12,'FHA Amotization'!$A87,360,'Owner Occupier'!$D$40,0,0)</f>
        <v>668.57597186564647</v>
      </c>
      <c r="C87" s="4">
        <f>-IPMT('Owner Occupier'!$D$41/12,'FHA Amotization'!$A87,360,'Owner Occupier'!$D$40,0,0)</f>
        <v>1111.5840367787457</v>
      </c>
      <c r="D87" s="4">
        <f t="shared" si="3"/>
        <v>1780.1600086443923</v>
      </c>
      <c r="E87" s="3">
        <f t="shared" si="4"/>
        <v>313190.44617742742</v>
      </c>
      <c r="F87" s="4">
        <f>('Owner Occupier'!$H$24-'Owner Occupier'!$D$52)/('Owner Occupier'!$D$56-'Owner Occupier'!$D$52)*B87</f>
        <v>317.38066695548883</v>
      </c>
      <c r="G87" s="4">
        <f t="shared" si="5"/>
        <v>23106.534020500003</v>
      </c>
    </row>
    <row r="88" spans="1:7" x14ac:dyDescent="0.25">
      <c r="A88">
        <v>85</v>
      </c>
      <c r="B88" s="4">
        <f>-PPMT('Owner Occupier'!$D$41/12,'FHA Amotization'!$A88,360,'Owner Occupier'!$D$40,0,0)</f>
        <v>670.9438450993373</v>
      </c>
      <c r="C88" s="4">
        <f>-IPMT('Owner Occupier'!$D$41/12,'FHA Amotization'!$A88,360,'Owner Occupier'!$D$40,0,0)</f>
        <v>1109.216163545055</v>
      </c>
      <c r="D88" s="4">
        <f t="shared" si="3"/>
        <v>1780.1600086443923</v>
      </c>
      <c r="E88" s="3">
        <f t="shared" si="4"/>
        <v>312519.50233232806</v>
      </c>
      <c r="F88" s="4">
        <f>('Owner Occupier'!$H$24-'Owner Occupier'!$D$52)/('Owner Occupier'!$D$56-'Owner Occupier'!$D$52)*B88</f>
        <v>318.50472348428951</v>
      </c>
      <c r="G88" s="4">
        <f t="shared" si="5"/>
        <v>23425.038743984293</v>
      </c>
    </row>
    <row r="89" spans="1:7" x14ac:dyDescent="0.25">
      <c r="A89">
        <v>86</v>
      </c>
      <c r="B89" s="4">
        <f>-PPMT('Owner Occupier'!$D$41/12,'FHA Amotization'!$A89,360,'Owner Occupier'!$D$40,0,0)</f>
        <v>673.32010455073078</v>
      </c>
      <c r="C89" s="4">
        <f>-IPMT('Owner Occupier'!$D$41/12,'FHA Amotization'!$A89,360,'Owner Occupier'!$D$40,0,0)</f>
        <v>1106.8399040936615</v>
      </c>
      <c r="D89" s="4">
        <f t="shared" si="3"/>
        <v>1780.1600086443923</v>
      </c>
      <c r="E89" s="3">
        <f t="shared" si="4"/>
        <v>311846.18222777732</v>
      </c>
      <c r="F89" s="4">
        <f>('Owner Occupier'!$H$24-'Owner Occupier'!$D$52)/('Owner Occupier'!$D$56-'Owner Occupier'!$D$52)*B89</f>
        <v>319.6327610466297</v>
      </c>
      <c r="G89" s="4">
        <f t="shared" si="5"/>
        <v>23744.671505030921</v>
      </c>
    </row>
    <row r="90" spans="1:7" x14ac:dyDescent="0.25">
      <c r="A90">
        <v>87</v>
      </c>
      <c r="B90" s="4">
        <f>-PPMT('Owner Occupier'!$D$41/12,'FHA Amotization'!$A90,360,'Owner Occupier'!$D$40,0,0)</f>
        <v>675.70477992101462</v>
      </c>
      <c r="C90" s="4">
        <f>-IPMT('Owner Occupier'!$D$41/12,'FHA Amotization'!$A90,360,'Owner Occupier'!$D$40,0,0)</f>
        <v>1104.4552287233776</v>
      </c>
      <c r="D90" s="4">
        <f t="shared" si="3"/>
        <v>1780.1600086443923</v>
      </c>
      <c r="E90" s="3">
        <f t="shared" si="4"/>
        <v>311170.47744785628</v>
      </c>
      <c r="F90" s="4">
        <f>('Owner Occupier'!$H$24-'Owner Occupier'!$D$52)/('Owner Occupier'!$D$56-'Owner Occupier'!$D$52)*B90</f>
        <v>320.76479374200318</v>
      </c>
      <c r="G90" s="4">
        <f t="shared" si="5"/>
        <v>24065.436298772926</v>
      </c>
    </row>
    <row r="91" spans="1:7" x14ac:dyDescent="0.25">
      <c r="A91">
        <v>88</v>
      </c>
      <c r="B91" s="4">
        <f>-PPMT('Owner Occupier'!$D$41/12,'FHA Amotization'!$A91,360,'Owner Occupier'!$D$40,0,0)</f>
        <v>678.09790101656824</v>
      </c>
      <c r="C91" s="4">
        <f>-IPMT('Owner Occupier'!$D$41/12,'FHA Amotization'!$A91,360,'Owner Occupier'!$D$40,0,0)</f>
        <v>1102.0621076278239</v>
      </c>
      <c r="D91" s="4">
        <f t="shared" si="3"/>
        <v>1780.1600086443923</v>
      </c>
      <c r="E91" s="3">
        <f t="shared" si="4"/>
        <v>310492.37954683969</v>
      </c>
      <c r="F91" s="4">
        <f>('Owner Occupier'!$H$24-'Owner Occupier'!$D$52)/('Owner Occupier'!$D$56-'Owner Occupier'!$D$52)*B91</f>
        <v>321.90083571983945</v>
      </c>
      <c r="G91" s="4">
        <f t="shared" si="5"/>
        <v>24387.337134492765</v>
      </c>
    </row>
    <row r="92" spans="1:7" x14ac:dyDescent="0.25">
      <c r="A92">
        <v>89</v>
      </c>
      <c r="B92" s="4">
        <f>-PPMT('Owner Occupier'!$D$41/12,'FHA Amotization'!$A92,360,'Owner Occupier'!$D$40,0,0)</f>
        <v>680.49949774933521</v>
      </c>
      <c r="C92" s="4">
        <f>-IPMT('Owner Occupier'!$D$41/12,'FHA Amotization'!$A92,360,'Owner Occupier'!$D$40,0,0)</f>
        <v>1099.6605108950569</v>
      </c>
      <c r="D92" s="4">
        <f t="shared" si="3"/>
        <v>1780.1600086443921</v>
      </c>
      <c r="E92" s="3">
        <f t="shared" si="4"/>
        <v>309811.88004909037</v>
      </c>
      <c r="F92" s="4">
        <f>('Owner Occupier'!$H$24-'Owner Occupier'!$D$52)/('Owner Occupier'!$D$56-'Owner Occupier'!$D$52)*B92</f>
        <v>323.04090117968053</v>
      </c>
      <c r="G92" s="4">
        <f t="shared" si="5"/>
        <v>24710.378035672446</v>
      </c>
    </row>
    <row r="93" spans="1:7" x14ac:dyDescent="0.25">
      <c r="A93">
        <v>90</v>
      </c>
      <c r="B93" s="4">
        <f>-PPMT('Owner Occupier'!$D$41/12,'FHA Amotization'!$A93,360,'Owner Occupier'!$D$40,0,0)</f>
        <v>682.90960013719746</v>
      </c>
      <c r="C93" s="4">
        <f>-IPMT('Owner Occupier'!$D$41/12,'FHA Amotization'!$A93,360,'Owner Occupier'!$D$40,0,0)</f>
        <v>1097.2504085071948</v>
      </c>
      <c r="D93" s="4">
        <f t="shared" si="3"/>
        <v>1780.1600086443923</v>
      </c>
      <c r="E93" s="3">
        <f t="shared" si="4"/>
        <v>309128.97044895316</v>
      </c>
      <c r="F93" s="4">
        <f>('Owner Occupier'!$H$24-'Owner Occupier'!$D$52)/('Owner Occupier'!$D$56-'Owner Occupier'!$D$52)*B93</f>
        <v>324.18500437135862</v>
      </c>
      <c r="G93" s="4">
        <f t="shared" si="5"/>
        <v>25034.563040043806</v>
      </c>
    </row>
    <row r="94" spans="1:7" x14ac:dyDescent="0.25">
      <c r="A94">
        <v>91</v>
      </c>
      <c r="B94" s="4">
        <f>-PPMT('Owner Occupier'!$D$41/12,'FHA Amotization'!$A94,360,'Owner Occupier'!$D$40,0,0)</f>
        <v>685.32823830434995</v>
      </c>
      <c r="C94" s="4">
        <f>-IPMT('Owner Occupier'!$D$41/12,'FHA Amotization'!$A94,360,'Owner Occupier'!$D$40,0,0)</f>
        <v>1094.8317703400421</v>
      </c>
      <c r="D94" s="4">
        <f t="shared" si="3"/>
        <v>1780.1600086443921</v>
      </c>
      <c r="E94" s="3">
        <f t="shared" si="4"/>
        <v>308443.6422106488</v>
      </c>
      <c r="F94" s="4">
        <f>('Owner Occupier'!$H$24-'Owner Occupier'!$D$52)/('Owner Occupier'!$D$56-'Owner Occupier'!$D$52)*B94</f>
        <v>325.33315959517381</v>
      </c>
      <c r="G94" s="4">
        <f t="shared" si="5"/>
        <v>25359.896199638981</v>
      </c>
    </row>
    <row r="95" spans="1:7" x14ac:dyDescent="0.25">
      <c r="A95">
        <v>92</v>
      </c>
      <c r="B95" s="4">
        <f>-PPMT('Owner Occupier'!$D$41/12,'FHA Amotization'!$A95,360,'Owner Occupier'!$D$40,0,0)</f>
        <v>687.75544248167785</v>
      </c>
      <c r="C95" s="4">
        <f>-IPMT('Owner Occupier'!$D$41/12,'FHA Amotization'!$A95,360,'Owner Occupier'!$D$40,0,0)</f>
        <v>1092.4045661627144</v>
      </c>
      <c r="D95" s="4">
        <f t="shared" si="3"/>
        <v>1780.1600086443923</v>
      </c>
      <c r="E95" s="3">
        <f t="shared" si="4"/>
        <v>307755.88676816714</v>
      </c>
      <c r="F95" s="4">
        <f>('Owner Occupier'!$H$24-'Owner Occupier'!$D$52)/('Owner Occupier'!$D$56-'Owner Occupier'!$D$52)*B95</f>
        <v>326.48538120207337</v>
      </c>
      <c r="G95" s="4">
        <f t="shared" si="5"/>
        <v>25686.381580841055</v>
      </c>
    </row>
    <row r="96" spans="1:7" x14ac:dyDescent="0.25">
      <c r="A96">
        <v>93</v>
      </c>
      <c r="B96" s="4">
        <f>-PPMT('Owner Occupier'!$D$41/12,'FHA Amotization'!$A96,360,'Owner Occupier'!$D$40,0,0)</f>
        <v>690.19124300713395</v>
      </c>
      <c r="C96" s="4">
        <f>-IPMT('Owner Occupier'!$D$41/12,'FHA Amotization'!$A96,360,'Owner Occupier'!$D$40,0,0)</f>
        <v>1089.9687656372582</v>
      </c>
      <c r="D96" s="4">
        <f t="shared" si="3"/>
        <v>1780.1600086443923</v>
      </c>
      <c r="E96" s="3">
        <f t="shared" si="4"/>
        <v>307065.69552516</v>
      </c>
      <c r="F96" s="4">
        <f>('Owner Occupier'!$H$24-'Owner Occupier'!$D$52)/('Owner Occupier'!$D$56-'Owner Occupier'!$D$52)*B96</f>
        <v>327.64168359383075</v>
      </c>
      <c r="G96" s="4">
        <f t="shared" si="5"/>
        <v>26014.023264434887</v>
      </c>
    </row>
    <row r="97" spans="1:7" x14ac:dyDescent="0.25">
      <c r="A97">
        <v>94</v>
      </c>
      <c r="B97" s="4">
        <f>-PPMT('Owner Occupier'!$D$41/12,'FHA Amotization'!$A97,360,'Owner Occupier'!$D$40,0,0)</f>
        <v>692.63567032611752</v>
      </c>
      <c r="C97" s="4">
        <f>-IPMT('Owner Occupier'!$D$41/12,'FHA Amotization'!$A97,360,'Owner Occupier'!$D$40,0,0)</f>
        <v>1087.5243383182749</v>
      </c>
      <c r="D97" s="4">
        <f t="shared" si="3"/>
        <v>1780.1600086443923</v>
      </c>
      <c r="E97" s="3">
        <f t="shared" si="4"/>
        <v>306373.05985483387</v>
      </c>
      <c r="F97" s="4">
        <f>('Owner Occupier'!$H$24-'Owner Occupier'!$D$52)/('Owner Occupier'!$D$56-'Owner Occupier'!$D$52)*B97</f>
        <v>328.80208122322557</v>
      </c>
      <c r="G97" s="4">
        <f t="shared" si="5"/>
        <v>26342.825345658111</v>
      </c>
    </row>
    <row r="98" spans="1:7" x14ac:dyDescent="0.25">
      <c r="A98">
        <v>95</v>
      </c>
      <c r="B98" s="4">
        <f>-PPMT('Owner Occupier'!$D$41/12,'FHA Amotization'!$A98,360,'Owner Occupier'!$D$40,0,0)</f>
        <v>695.08875499185581</v>
      </c>
      <c r="C98" s="4">
        <f>-IPMT('Owner Occupier'!$D$41/12,'FHA Amotization'!$A98,360,'Owner Occupier'!$D$40,0,0)</f>
        <v>1085.0712536525366</v>
      </c>
      <c r="D98" s="4">
        <f t="shared" si="3"/>
        <v>1780.1600086443923</v>
      </c>
      <c r="E98" s="3">
        <f t="shared" si="4"/>
        <v>305677.97109984199</v>
      </c>
      <c r="F98" s="4">
        <f>('Owner Occupier'!$H$24-'Owner Occupier'!$D$52)/('Owner Occupier'!$D$56-'Owner Occupier'!$D$52)*B98</f>
        <v>329.9665885942245</v>
      </c>
      <c r="G98" s="4">
        <f t="shared" si="5"/>
        <v>26672.791934252335</v>
      </c>
    </row>
    <row r="99" spans="1:7" x14ac:dyDescent="0.25">
      <c r="A99">
        <v>96</v>
      </c>
      <c r="B99" s="4">
        <f>-PPMT('Owner Occupier'!$D$41/12,'FHA Amotization'!$A99,360,'Owner Occupier'!$D$40,0,0)</f>
        <v>697.55052766578524</v>
      </c>
      <c r="C99" s="4">
        <f>-IPMT('Owner Occupier'!$D$41/12,'FHA Amotization'!$A99,360,'Owner Occupier'!$D$40,0,0)</f>
        <v>1082.6094809786068</v>
      </c>
      <c r="D99" s="4">
        <f t="shared" si="3"/>
        <v>1780.1600086443921</v>
      </c>
      <c r="E99" s="3">
        <f t="shared" si="4"/>
        <v>304980.42057217623</v>
      </c>
      <c r="F99" s="4">
        <f>('Owner Occupier'!$H$24-'Owner Occupier'!$D$52)/('Owner Occupier'!$D$56-'Owner Occupier'!$D$52)*B99</f>
        <v>331.13522026216231</v>
      </c>
      <c r="G99" s="4">
        <f t="shared" si="5"/>
        <v>27003.927154514498</v>
      </c>
    </row>
    <row r="100" spans="1:7" x14ac:dyDescent="0.25">
      <c r="A100">
        <v>97</v>
      </c>
      <c r="B100" s="4">
        <f>-PPMT('Owner Occupier'!$D$41/12,'FHA Amotization'!$A100,360,'Owner Occupier'!$D$40,0,0)</f>
        <v>700.021019117935</v>
      </c>
      <c r="C100" s="4">
        <f>-IPMT('Owner Occupier'!$D$41/12,'FHA Amotization'!$A100,360,'Owner Occupier'!$D$40,0,0)</f>
        <v>1080.1389895264574</v>
      </c>
      <c r="D100" s="4">
        <f t="shared" si="3"/>
        <v>1780.1600086443923</v>
      </c>
      <c r="E100" s="3">
        <f t="shared" si="4"/>
        <v>304280.39955305832</v>
      </c>
      <c r="F100" s="4">
        <f>('Owner Occupier'!$H$24-'Owner Occupier'!$D$52)/('Owner Occupier'!$D$56-'Owner Occupier'!$D$52)*B100</f>
        <v>332.30799083392418</v>
      </c>
      <c r="G100" s="4">
        <f t="shared" si="5"/>
        <v>27336.235145348423</v>
      </c>
    </row>
    <row r="101" spans="1:7" x14ac:dyDescent="0.25">
      <c r="A101">
        <v>98</v>
      </c>
      <c r="B101" s="4">
        <f>-PPMT('Owner Occupier'!$D$41/12,'FHA Amotization'!$A101,360,'Owner Occupier'!$D$40,0,0)</f>
        <v>702.50026022731095</v>
      </c>
      <c r="C101" s="4">
        <f>-IPMT('Owner Occupier'!$D$41/12,'FHA Amotization'!$A101,360,'Owner Occupier'!$D$40,0,0)</f>
        <v>1077.6597484170811</v>
      </c>
      <c r="D101" s="4">
        <f t="shared" si="3"/>
        <v>1780.1600086443921</v>
      </c>
      <c r="E101" s="3">
        <f t="shared" si="4"/>
        <v>303577.89929283102</v>
      </c>
      <c r="F101" s="4">
        <f>('Owner Occupier'!$H$24-'Owner Occupier'!$D$52)/('Owner Occupier'!$D$56-'Owner Occupier'!$D$52)*B101</f>
        <v>333.48491496812767</v>
      </c>
      <c r="G101" s="4">
        <f t="shared" si="5"/>
        <v>27669.720060316551</v>
      </c>
    </row>
    <row r="102" spans="1:7" x14ac:dyDescent="0.25">
      <c r="A102">
        <v>99</v>
      </c>
      <c r="B102" s="4">
        <f>-PPMT('Owner Occupier'!$D$41/12,'FHA Amotization'!$A102,360,'Owner Occupier'!$D$40,0,0)</f>
        <v>704.98828198228273</v>
      </c>
      <c r="C102" s="4">
        <f>-IPMT('Owner Occupier'!$D$41/12,'FHA Amotization'!$A102,360,'Owner Occupier'!$D$40,0,0)</f>
        <v>1075.1717266621097</v>
      </c>
      <c r="D102" s="4">
        <f t="shared" si="3"/>
        <v>1780.1600086443923</v>
      </c>
      <c r="E102" s="3">
        <f t="shared" si="4"/>
        <v>302872.91101084871</v>
      </c>
      <c r="F102" s="4">
        <f>('Owner Occupier'!$H$24-'Owner Occupier'!$D$52)/('Owner Occupier'!$D$56-'Owner Occupier'!$D$52)*B102</f>
        <v>334.66600737530649</v>
      </c>
      <c r="G102" s="4">
        <f t="shared" si="5"/>
        <v>28004.386067691859</v>
      </c>
    </row>
    <row r="103" spans="1:7" x14ac:dyDescent="0.25">
      <c r="A103">
        <v>100</v>
      </c>
      <c r="B103" s="4">
        <f>-PPMT('Owner Occupier'!$D$41/12,'FHA Amotization'!$A103,360,'Owner Occupier'!$D$40,0,0)</f>
        <v>707.48511548096997</v>
      </c>
      <c r="C103" s="4">
        <f>-IPMT('Owner Occupier'!$D$41/12,'FHA Amotization'!$A103,360,'Owner Occupier'!$D$40,0,0)</f>
        <v>1072.6748931634224</v>
      </c>
      <c r="D103" s="4">
        <f t="shared" si="3"/>
        <v>1780.1600086443923</v>
      </c>
      <c r="E103" s="3">
        <f t="shared" si="4"/>
        <v>302165.42589536775</v>
      </c>
      <c r="F103" s="4">
        <f>('Owner Occupier'!$H$24-'Owner Occupier'!$D$52)/('Owner Occupier'!$D$56-'Owner Occupier'!$D$52)*B103</f>
        <v>335.85128281809398</v>
      </c>
      <c r="G103" s="4">
        <f t="shared" si="5"/>
        <v>28340.237350509953</v>
      </c>
    </row>
    <row r="104" spans="1:7" x14ac:dyDescent="0.25">
      <c r="A104">
        <v>101</v>
      </c>
      <c r="B104" s="4">
        <f>-PPMT('Owner Occupier'!$D$41/12,'FHA Amotization'!$A104,360,'Owner Occupier'!$D$40,0,0)</f>
        <v>709.99079193163175</v>
      </c>
      <c r="C104" s="4">
        <f>-IPMT('Owner Occupier'!$D$41/12,'FHA Amotization'!$A104,360,'Owner Occupier'!$D$40,0,0)</f>
        <v>1070.1692167127605</v>
      </c>
      <c r="D104" s="4">
        <f t="shared" si="3"/>
        <v>1780.1600086443923</v>
      </c>
      <c r="E104" s="3">
        <f t="shared" si="4"/>
        <v>301455.43510343612</v>
      </c>
      <c r="F104" s="4">
        <f>('Owner Occupier'!$H$24-'Owner Occupier'!$D$52)/('Owner Occupier'!$D$56-'Owner Occupier'!$D$52)*B104</f>
        <v>337.04075611140809</v>
      </c>
      <c r="G104" s="4">
        <f t="shared" si="5"/>
        <v>28677.278106621361</v>
      </c>
    </row>
    <row r="105" spans="1:7" x14ac:dyDescent="0.25">
      <c r="A105">
        <v>102</v>
      </c>
      <c r="B105" s="4">
        <f>-PPMT('Owner Occupier'!$D$41/12,'FHA Amotization'!$A105,360,'Owner Occupier'!$D$40,0,0)</f>
        <v>712.50534265305623</v>
      </c>
      <c r="C105" s="4">
        <f>-IPMT('Owner Occupier'!$D$41/12,'FHA Amotization'!$A105,360,'Owner Occupier'!$D$40,0,0)</f>
        <v>1067.6546659913361</v>
      </c>
      <c r="D105" s="4">
        <f t="shared" si="3"/>
        <v>1780.1600086443923</v>
      </c>
      <c r="E105" s="3">
        <f t="shared" si="4"/>
        <v>300742.92976078304</v>
      </c>
      <c r="F105" s="4">
        <f>('Owner Occupier'!$H$24-'Owner Occupier'!$D$52)/('Owner Occupier'!$D$56-'Owner Occupier'!$D$52)*B105</f>
        <v>338.23444212263598</v>
      </c>
      <c r="G105" s="4">
        <f t="shared" si="5"/>
        <v>29015.512548743998</v>
      </c>
    </row>
    <row r="106" spans="1:7" x14ac:dyDescent="0.25">
      <c r="A106">
        <v>103</v>
      </c>
      <c r="B106" s="4">
        <f>-PPMT('Owner Occupier'!$D$41/12,'FHA Amotization'!$A106,360,'Owner Occupier'!$D$40,0,0)</f>
        <v>715.02879907495253</v>
      </c>
      <c r="C106" s="4">
        <f>-IPMT('Owner Occupier'!$D$41/12,'FHA Amotization'!$A106,360,'Owner Occupier'!$D$40,0,0)</f>
        <v>1065.13120956944</v>
      </c>
      <c r="D106" s="4">
        <f t="shared" si="3"/>
        <v>1780.1600086443925</v>
      </c>
      <c r="E106" s="3">
        <f t="shared" si="4"/>
        <v>300027.9009617081</v>
      </c>
      <c r="F106" s="4">
        <f>('Owner Occupier'!$H$24-'Owner Occupier'!$D$52)/('Owner Occupier'!$D$56-'Owner Occupier'!$D$52)*B106</f>
        <v>339.43235577182031</v>
      </c>
      <c r="G106" s="4">
        <f t="shared" si="5"/>
        <v>29354.944904515818</v>
      </c>
    </row>
    <row r="107" spans="1:7" x14ac:dyDescent="0.25">
      <c r="A107">
        <v>104</v>
      </c>
      <c r="B107" s="4">
        <f>-PPMT('Owner Occupier'!$D$41/12,'FHA Amotization'!$A107,360,'Owner Occupier'!$D$40,0,0)</f>
        <v>717.56119273834292</v>
      </c>
      <c r="C107" s="4">
        <f>-IPMT('Owner Occupier'!$D$41/12,'FHA Amotization'!$A107,360,'Owner Occupier'!$D$40,0,0)</f>
        <v>1062.5988159060491</v>
      </c>
      <c r="D107" s="4">
        <f t="shared" si="3"/>
        <v>1780.1600086443921</v>
      </c>
      <c r="E107" s="3">
        <f t="shared" si="4"/>
        <v>299310.33976896974</v>
      </c>
      <c r="F107" s="4">
        <f>('Owner Occupier'!$H$24-'Owner Occupier'!$D$52)/('Owner Occupier'!$D$56-'Owner Occupier'!$D$52)*B107</f>
        <v>340.63451203184553</v>
      </c>
      <c r="G107" s="4">
        <f t="shared" si="5"/>
        <v>29695.579416547662</v>
      </c>
    </row>
    <row r="108" spans="1:7" x14ac:dyDescent="0.25">
      <c r="A108">
        <v>105</v>
      </c>
      <c r="B108" s="4">
        <f>-PPMT('Owner Occupier'!$D$41/12,'FHA Amotization'!$A108,360,'Owner Occupier'!$D$40,0,0)</f>
        <v>720.10255529595781</v>
      </c>
      <c r="C108" s="4">
        <f>-IPMT('Owner Occupier'!$D$41/12,'FHA Amotization'!$A108,360,'Owner Occupier'!$D$40,0,0)</f>
        <v>1060.0574533484344</v>
      </c>
      <c r="D108" s="4">
        <f t="shared" si="3"/>
        <v>1780.1600086443923</v>
      </c>
      <c r="E108" s="3">
        <f t="shared" si="4"/>
        <v>298590.23721367377</v>
      </c>
      <c r="F108" s="4">
        <f>('Owner Occupier'!$H$24-'Owner Occupier'!$D$52)/('Owner Occupier'!$D$56-'Owner Occupier'!$D$52)*B108</f>
        <v>341.84092592862493</v>
      </c>
      <c r="G108" s="4">
        <f t="shared" si="5"/>
        <v>30037.420342476285</v>
      </c>
    </row>
    <row r="109" spans="1:7" x14ac:dyDescent="0.25">
      <c r="A109">
        <v>106</v>
      </c>
      <c r="B109" s="4">
        <f>-PPMT('Owner Occupier'!$D$41/12,'FHA Amotization'!$A109,360,'Owner Occupier'!$D$40,0,0)</f>
        <v>722.65291851263112</v>
      </c>
      <c r="C109" s="4">
        <f>-IPMT('Owner Occupier'!$D$41/12,'FHA Amotization'!$A109,360,'Owner Occupier'!$D$40,0,0)</f>
        <v>1057.5070901317611</v>
      </c>
      <c r="D109" s="4">
        <f t="shared" si="3"/>
        <v>1780.1600086443923</v>
      </c>
      <c r="E109" s="3">
        <f t="shared" si="4"/>
        <v>297867.58429516113</v>
      </c>
      <c r="F109" s="4">
        <f>('Owner Occupier'!$H$24-'Owner Occupier'!$D$52)/('Owner Occupier'!$D$56-'Owner Occupier'!$D$52)*B109</f>
        <v>343.05161254128888</v>
      </c>
      <c r="G109" s="4">
        <f t="shared" si="5"/>
        <v>30380.471955017576</v>
      </c>
    </row>
    <row r="110" spans="1:7" x14ac:dyDescent="0.25">
      <c r="A110">
        <v>107</v>
      </c>
      <c r="B110" s="4">
        <f>-PPMT('Owner Occupier'!$D$41/12,'FHA Amotization'!$A110,360,'Owner Occupier'!$D$40,0,0)</f>
        <v>725.21231426569659</v>
      </c>
      <c r="C110" s="4">
        <f>-IPMT('Owner Occupier'!$D$41/12,'FHA Amotization'!$A110,360,'Owner Occupier'!$D$40,0,0)</f>
        <v>1054.9476943786956</v>
      </c>
      <c r="D110" s="4">
        <f t="shared" si="3"/>
        <v>1780.1600086443923</v>
      </c>
      <c r="E110" s="3">
        <f t="shared" si="4"/>
        <v>297142.3719808954</v>
      </c>
      <c r="F110" s="4">
        <f>('Owner Occupier'!$H$24-'Owner Occupier'!$D$52)/('Owner Occupier'!$D$56-'Owner Occupier'!$D$52)*B110</f>
        <v>344.26658700237255</v>
      </c>
      <c r="G110" s="4">
        <f t="shared" si="5"/>
        <v>30724.73854201995</v>
      </c>
    </row>
    <row r="111" spans="1:7" x14ac:dyDescent="0.25">
      <c r="A111">
        <v>108</v>
      </c>
      <c r="B111" s="4">
        <f>-PPMT('Owner Occupier'!$D$41/12,'FHA Amotization'!$A111,360,'Owner Occupier'!$D$40,0,0)</f>
        <v>727.78077454538766</v>
      </c>
      <c r="C111" s="4">
        <f>-IPMT('Owner Occupier'!$D$41/12,'FHA Amotization'!$A111,360,'Owner Occupier'!$D$40,0,0)</f>
        <v>1052.3792340990046</v>
      </c>
      <c r="D111" s="4">
        <f t="shared" si="3"/>
        <v>1780.1600086443923</v>
      </c>
      <c r="E111" s="3">
        <f t="shared" si="4"/>
        <v>296414.59120635001</v>
      </c>
      <c r="F111" s="4">
        <f>('Owner Occupier'!$H$24-'Owner Occupier'!$D$52)/('Owner Occupier'!$D$56-'Owner Occupier'!$D$52)*B111</f>
        <v>345.48586449800598</v>
      </c>
      <c r="G111" s="4">
        <f t="shared" si="5"/>
        <v>31070.224406517955</v>
      </c>
    </row>
    <row r="112" spans="1:7" x14ac:dyDescent="0.25">
      <c r="A112">
        <v>109</v>
      </c>
      <c r="B112" s="4">
        <f>-PPMT('Owner Occupier'!$D$41/12,'FHA Amotization'!$A112,360,'Owner Occupier'!$D$40,0,0)</f>
        <v>730.358331455236</v>
      </c>
      <c r="C112" s="4">
        <f>-IPMT('Owner Occupier'!$D$41/12,'FHA Amotization'!$A112,360,'Owner Occupier'!$D$40,0,0)</f>
        <v>1049.8016771891562</v>
      </c>
      <c r="D112" s="4">
        <f t="shared" si="3"/>
        <v>1780.1600086443923</v>
      </c>
      <c r="E112" s="3">
        <f t="shared" si="4"/>
        <v>295684.23287489481</v>
      </c>
      <c r="F112" s="4">
        <f>('Owner Occupier'!$H$24-'Owner Occupier'!$D$52)/('Owner Occupier'!$D$56-'Owner Occupier'!$D$52)*B112</f>
        <v>346.7094602681031</v>
      </c>
      <c r="G112" s="4">
        <f t="shared" si="5"/>
        <v>31416.933866786057</v>
      </c>
    </row>
    <row r="113" spans="1:7" x14ac:dyDescent="0.25">
      <c r="A113">
        <v>110</v>
      </c>
      <c r="B113" s="4">
        <f>-PPMT('Owner Occupier'!$D$41/12,'FHA Amotization'!$A113,360,'Owner Occupier'!$D$40,0,0)</f>
        <v>732.9450172124732</v>
      </c>
      <c r="C113" s="4">
        <f>-IPMT('Owner Occupier'!$D$41/12,'FHA Amotization'!$A113,360,'Owner Occupier'!$D$40,0,0)</f>
        <v>1047.2149914319189</v>
      </c>
      <c r="D113" s="4">
        <f t="shared" si="3"/>
        <v>1780.1600086443921</v>
      </c>
      <c r="E113" s="3">
        <f t="shared" si="4"/>
        <v>294951.28785768233</v>
      </c>
      <c r="F113" s="4">
        <f>('Owner Occupier'!$H$24-'Owner Occupier'!$D$52)/('Owner Occupier'!$D$56-'Owner Occupier'!$D$52)*B113</f>
        <v>347.93738960655259</v>
      </c>
      <c r="G113" s="4">
        <f t="shared" si="5"/>
        <v>31764.871256392609</v>
      </c>
    </row>
    <row r="114" spans="1:7" x14ac:dyDescent="0.25">
      <c r="A114">
        <v>111</v>
      </c>
      <c r="B114" s="4">
        <f>-PPMT('Owner Occupier'!$D$41/12,'FHA Amotization'!$A114,360,'Owner Occupier'!$D$40,0,0)</f>
        <v>735.54086414843403</v>
      </c>
      <c r="C114" s="4">
        <f>-IPMT('Owner Occupier'!$D$41/12,'FHA Amotization'!$A114,360,'Owner Occupier'!$D$40,0,0)</f>
        <v>1044.6191444959584</v>
      </c>
      <c r="D114" s="4">
        <f t="shared" si="3"/>
        <v>1780.1600086443923</v>
      </c>
      <c r="E114" s="3">
        <f t="shared" si="4"/>
        <v>294215.74699353392</v>
      </c>
      <c r="F114" s="4">
        <f>('Owner Occupier'!$H$24-'Owner Occupier'!$D$52)/('Owner Occupier'!$D$56-'Owner Occupier'!$D$52)*B114</f>
        <v>349.16966786140915</v>
      </c>
      <c r="G114" s="4">
        <f t="shared" si="5"/>
        <v>32114.040924254019</v>
      </c>
    </row>
    <row r="115" spans="1:7" x14ac:dyDescent="0.25">
      <c r="A115">
        <v>112</v>
      </c>
      <c r="B115" s="4">
        <f>-PPMT('Owner Occupier'!$D$41/12,'FHA Amotization'!$A115,360,'Owner Occupier'!$D$40,0,0)</f>
        <v>738.14590470895973</v>
      </c>
      <c r="C115" s="4">
        <f>-IPMT('Owner Occupier'!$D$41/12,'FHA Amotization'!$A115,360,'Owner Occupier'!$D$40,0,0)</f>
        <v>1042.0141039354323</v>
      </c>
      <c r="D115" s="4">
        <f t="shared" si="3"/>
        <v>1780.1600086443921</v>
      </c>
      <c r="E115" s="3">
        <f t="shared" si="4"/>
        <v>293477.60108882497</v>
      </c>
      <c r="F115" s="4">
        <f>('Owner Occupier'!$H$24-'Owner Occupier'!$D$52)/('Owner Occupier'!$D$56-'Owner Occupier'!$D$52)*B115</f>
        <v>350.40631043508495</v>
      </c>
      <c r="G115" s="4">
        <f t="shared" si="5"/>
        <v>32464.447234689105</v>
      </c>
    </row>
    <row r="116" spans="1:7" x14ac:dyDescent="0.25">
      <c r="A116">
        <v>113</v>
      </c>
      <c r="B116" s="4">
        <f>-PPMT('Owner Occupier'!$D$41/12,'FHA Amotization'!$A116,360,'Owner Occupier'!$D$40,0,0)</f>
        <v>740.76017145480387</v>
      </c>
      <c r="C116" s="4">
        <f>-IPMT('Owner Occupier'!$D$41/12,'FHA Amotization'!$A116,360,'Owner Occupier'!$D$40,0,0)</f>
        <v>1039.3998371895882</v>
      </c>
      <c r="D116" s="4">
        <f t="shared" si="3"/>
        <v>1780.1600086443921</v>
      </c>
      <c r="E116" s="3">
        <f t="shared" si="4"/>
        <v>292736.84091737017</v>
      </c>
      <c r="F116" s="4">
        <f>('Owner Occupier'!$H$24-'Owner Occupier'!$D$52)/('Owner Occupier'!$D$56-'Owner Occupier'!$D$52)*B116</f>
        <v>351.64733278454253</v>
      </c>
      <c r="G116" s="4">
        <f t="shared" si="5"/>
        <v>32816.09456747365</v>
      </c>
    </row>
    <row r="117" spans="1:7" x14ac:dyDescent="0.25">
      <c r="A117">
        <v>114</v>
      </c>
      <c r="B117" s="4">
        <f>-PPMT('Owner Occupier'!$D$41/12,'FHA Amotization'!$A117,360,'Owner Occupier'!$D$40,0,0)</f>
        <v>743.3836970620398</v>
      </c>
      <c r="C117" s="4">
        <f>-IPMT('Owner Occupier'!$D$41/12,'FHA Amotization'!$A117,360,'Owner Occupier'!$D$40,0,0)</f>
        <v>1036.7763115823525</v>
      </c>
      <c r="D117" s="4">
        <f t="shared" si="3"/>
        <v>1780.1600086443923</v>
      </c>
      <c r="E117" s="3">
        <f t="shared" si="4"/>
        <v>291993.45722030813</v>
      </c>
      <c r="F117" s="4">
        <f>('Owner Occupier'!$H$24-'Owner Occupier'!$D$52)/('Owner Occupier'!$D$56-'Owner Occupier'!$D$52)*B117</f>
        <v>352.89275042148785</v>
      </c>
      <c r="G117" s="4">
        <f t="shared" si="5"/>
        <v>33168.987317895138</v>
      </c>
    </row>
    <row r="118" spans="1:7" x14ac:dyDescent="0.25">
      <c r="A118">
        <v>115</v>
      </c>
      <c r="B118" s="4">
        <f>-PPMT('Owner Occupier'!$D$41/12,'FHA Amotization'!$A118,360,'Owner Occupier'!$D$40,0,0)</f>
        <v>746.01651432246774</v>
      </c>
      <c r="C118" s="4">
        <f>-IPMT('Owner Occupier'!$D$41/12,'FHA Amotization'!$A118,360,'Owner Occupier'!$D$40,0,0)</f>
        <v>1034.1434943219244</v>
      </c>
      <c r="D118" s="4">
        <f t="shared" si="3"/>
        <v>1780.1600086443923</v>
      </c>
      <c r="E118" s="3">
        <f t="shared" si="4"/>
        <v>291247.44070598565</v>
      </c>
      <c r="F118" s="4">
        <f>('Owner Occupier'!$H$24-'Owner Occupier'!$D$52)/('Owner Occupier'!$D$56-'Owner Occupier'!$D$52)*B118</f>
        <v>354.14257891256392</v>
      </c>
      <c r="G118" s="4">
        <f t="shared" si="5"/>
        <v>33523.129896807703</v>
      </c>
    </row>
    <row r="119" spans="1:7" x14ac:dyDescent="0.25">
      <c r="A119">
        <v>116</v>
      </c>
      <c r="B119" s="4">
        <f>-PPMT('Owner Occupier'!$D$41/12,'FHA Amotization'!$A119,360,'Owner Occupier'!$D$40,0,0)</f>
        <v>748.65865614402651</v>
      </c>
      <c r="C119" s="4">
        <f>-IPMT('Owner Occupier'!$D$41/12,'FHA Amotization'!$A119,360,'Owner Occupier'!$D$40,0,0)</f>
        <v>1031.5013525003658</v>
      </c>
      <c r="D119" s="4">
        <f t="shared" si="3"/>
        <v>1780.1600086443923</v>
      </c>
      <c r="E119" s="3">
        <f t="shared" si="4"/>
        <v>290498.7820498416</v>
      </c>
      <c r="F119" s="4">
        <f>('Owner Occupier'!$H$24-'Owner Occupier'!$D$52)/('Owner Occupier'!$D$56-'Owner Occupier'!$D$52)*B119</f>
        <v>355.39683387954591</v>
      </c>
      <c r="G119" s="4">
        <f t="shared" si="5"/>
        <v>33878.526730687248</v>
      </c>
    </row>
    <row r="120" spans="1:7" x14ac:dyDescent="0.25">
      <c r="A120">
        <v>117</v>
      </c>
      <c r="B120" s="4">
        <f>-PPMT('Owner Occupier'!$D$41/12,'FHA Amotization'!$A120,360,'Owner Occupier'!$D$40,0,0)</f>
        <v>751.31015555120325</v>
      </c>
      <c r="C120" s="4">
        <f>-IPMT('Owner Occupier'!$D$41/12,'FHA Amotization'!$A120,360,'Owner Occupier'!$D$40,0,0)</f>
        <v>1028.849853093189</v>
      </c>
      <c r="D120" s="4">
        <f t="shared" si="3"/>
        <v>1780.1600086443923</v>
      </c>
      <c r="E120" s="3">
        <f t="shared" si="4"/>
        <v>289747.47189429041</v>
      </c>
      <c r="F120" s="4">
        <f>('Owner Occupier'!$H$24-'Owner Occupier'!$D$52)/('Owner Occupier'!$D$56-'Owner Occupier'!$D$52)*B120</f>
        <v>356.65553099953598</v>
      </c>
      <c r="G120" s="4">
        <f t="shared" si="5"/>
        <v>34235.182261686787</v>
      </c>
    </row>
    <row r="121" spans="1:7" x14ac:dyDescent="0.25">
      <c r="A121">
        <v>118</v>
      </c>
      <c r="B121" s="4">
        <f>-PPMT('Owner Occupier'!$D$41/12,'FHA Amotization'!$A121,360,'Owner Occupier'!$D$40,0,0)</f>
        <v>753.97104568544717</v>
      </c>
      <c r="C121" s="4">
        <f>-IPMT('Owner Occupier'!$D$41/12,'FHA Amotization'!$A121,360,'Owner Occupier'!$D$40,0,0)</f>
        <v>1026.1889629589452</v>
      </c>
      <c r="D121" s="4">
        <f t="shared" si="3"/>
        <v>1780.1600086443923</v>
      </c>
      <c r="E121" s="3">
        <f t="shared" si="4"/>
        <v>288993.50084860495</v>
      </c>
      <c r="F121" s="4">
        <f>('Owner Occupier'!$H$24-'Owner Occupier'!$D$52)/('Owner Occupier'!$D$56-'Owner Occupier'!$D$52)*B121</f>
        <v>357.91868600515937</v>
      </c>
      <c r="G121" s="4">
        <f t="shared" si="5"/>
        <v>34593.100947691943</v>
      </c>
    </row>
    <row r="122" spans="1:7" x14ac:dyDescent="0.25">
      <c r="A122">
        <v>119</v>
      </c>
      <c r="B122" s="4">
        <f>-PPMT('Owner Occupier'!$D$41/12,'FHA Amotization'!$A122,360,'Owner Occupier'!$D$40,0,0)</f>
        <v>756.64135980558308</v>
      </c>
      <c r="C122" s="4">
        <f>-IPMT('Owner Occupier'!$D$41/12,'FHA Amotization'!$A122,360,'Owner Occupier'!$D$40,0,0)</f>
        <v>1023.5186488388092</v>
      </c>
      <c r="D122" s="4">
        <f t="shared" si="3"/>
        <v>1780.1600086443923</v>
      </c>
      <c r="E122" s="3">
        <f t="shared" si="4"/>
        <v>288236.85948879935</v>
      </c>
      <c r="F122" s="4">
        <f>('Owner Occupier'!$H$24-'Owner Occupier'!$D$52)/('Owner Occupier'!$D$56-'Owner Occupier'!$D$52)*B122</f>
        <v>359.18631468476093</v>
      </c>
      <c r="G122" s="4">
        <f t="shared" si="5"/>
        <v>34952.287262376703</v>
      </c>
    </row>
    <row r="123" spans="1:7" x14ac:dyDescent="0.25">
      <c r="A123">
        <v>120</v>
      </c>
      <c r="B123" s="4">
        <f>-PPMT('Owner Occupier'!$D$41/12,'FHA Amotization'!$A123,360,'Owner Occupier'!$D$40,0,0)</f>
        <v>759.32113128822778</v>
      </c>
      <c r="C123" s="4">
        <f>-IPMT('Owner Occupier'!$D$41/12,'FHA Amotization'!$A123,360,'Owner Occupier'!$D$40,0,0)</f>
        <v>1020.8388773561643</v>
      </c>
      <c r="D123" s="4">
        <f t="shared" si="3"/>
        <v>1780.1600086443921</v>
      </c>
      <c r="E123" s="3">
        <f t="shared" si="4"/>
        <v>287477.5383575111</v>
      </c>
      <c r="F123" s="4">
        <f>('Owner Occupier'!$H$24-'Owner Occupier'!$D$52)/('Owner Occupier'!$D$56-'Owner Occupier'!$D$52)*B123</f>
        <v>360.45843288260278</v>
      </c>
      <c r="G123" s="4">
        <f t="shared" si="5"/>
        <v>35312.745695259306</v>
      </c>
    </row>
    <row r="124" spans="1:7" x14ac:dyDescent="0.25">
      <c r="A124">
        <v>121</v>
      </c>
      <c r="B124" s="4">
        <f>-PPMT('Owner Occupier'!$D$41/12,'FHA Amotization'!$A124,360,'Owner Occupier'!$D$40,0,0)</f>
        <v>762.010393628207</v>
      </c>
      <c r="C124" s="4">
        <f>-IPMT('Owner Occupier'!$D$41/12,'FHA Amotization'!$A124,360,'Owner Occupier'!$D$40,0,0)</f>
        <v>1018.1496150161852</v>
      </c>
      <c r="D124" s="4">
        <f t="shared" si="3"/>
        <v>1780.1600086443923</v>
      </c>
      <c r="E124" s="3">
        <f t="shared" si="4"/>
        <v>286715.52796388289</v>
      </c>
      <c r="F124" s="4">
        <f>('Owner Occupier'!$H$24-'Owner Occupier'!$D$52)/('Owner Occupier'!$D$56-'Owner Occupier'!$D$52)*B124</f>
        <v>361.73505649906201</v>
      </c>
      <c r="G124" s="4">
        <f t="shared" si="5"/>
        <v>35674.480751758369</v>
      </c>
    </row>
    <row r="125" spans="1:7" x14ac:dyDescent="0.25">
      <c r="A125">
        <v>122</v>
      </c>
      <c r="B125" s="4">
        <f>-PPMT('Owner Occupier'!$D$41/12,'FHA Amotization'!$A125,360,'Owner Occupier'!$D$40,0,0)</f>
        <v>764.70918043897359</v>
      </c>
      <c r="C125" s="4">
        <f>-IPMT('Owner Occupier'!$D$41/12,'FHA Amotization'!$A125,360,'Owner Occupier'!$D$40,0,0)</f>
        <v>1015.4508282054187</v>
      </c>
      <c r="D125" s="4">
        <f t="shared" si="3"/>
        <v>1780.1600086443923</v>
      </c>
      <c r="E125" s="3">
        <f t="shared" si="4"/>
        <v>285950.81878344394</v>
      </c>
      <c r="F125" s="4">
        <f>('Owner Occupier'!$H$24-'Owner Occupier'!$D$52)/('Owner Occupier'!$D$56-'Owner Occupier'!$D$52)*B125</f>
        <v>363.01620149082953</v>
      </c>
      <c r="G125" s="4">
        <f t="shared" si="5"/>
        <v>36037.496953249196</v>
      </c>
    </row>
    <row r="126" spans="1:7" x14ac:dyDescent="0.25">
      <c r="A126">
        <v>123</v>
      </c>
      <c r="B126" s="4">
        <f>-PPMT('Owner Occupier'!$D$41/12,'FHA Amotization'!$A126,360,'Owner Occupier'!$D$40,0,0)</f>
        <v>767.41752545302825</v>
      </c>
      <c r="C126" s="4">
        <f>-IPMT('Owner Occupier'!$D$41/12,'FHA Amotization'!$A126,360,'Owner Occupier'!$D$40,0,0)</f>
        <v>1012.7424831913638</v>
      </c>
      <c r="D126" s="4">
        <f t="shared" si="3"/>
        <v>1780.1600086443921</v>
      </c>
      <c r="E126" s="3">
        <f t="shared" si="4"/>
        <v>285183.40125799092</v>
      </c>
      <c r="F126" s="4">
        <f>('Owner Occupier'!$H$24-'Owner Occupier'!$D$52)/('Owner Occupier'!$D$56-'Owner Occupier'!$D$52)*B126</f>
        <v>364.30188387110957</v>
      </c>
      <c r="G126" s="4">
        <f t="shared" si="5"/>
        <v>36401.798837120303</v>
      </c>
    </row>
    <row r="127" spans="1:7" x14ac:dyDescent="0.25">
      <c r="A127">
        <v>124</v>
      </c>
      <c r="B127" s="4">
        <f>-PPMT('Owner Occupier'!$D$41/12,'FHA Amotization'!$A127,360,'Owner Occupier'!$D$40,0,0)</f>
        <v>770.13546252234107</v>
      </c>
      <c r="C127" s="4">
        <f>-IPMT('Owner Occupier'!$D$41/12,'FHA Amotization'!$A127,360,'Owner Occupier'!$D$40,0,0)</f>
        <v>1010.024546122051</v>
      </c>
      <c r="D127" s="4">
        <f t="shared" si="3"/>
        <v>1780.1600086443921</v>
      </c>
      <c r="E127" s="3">
        <f t="shared" si="4"/>
        <v>284413.26579546859</v>
      </c>
      <c r="F127" s="4">
        <f>('Owner Occupier'!$H$24-'Owner Occupier'!$D$52)/('Owner Occupier'!$D$56-'Owner Occupier'!$D$52)*B127</f>
        <v>365.59211970981971</v>
      </c>
      <c r="G127" s="4">
        <f t="shared" si="5"/>
        <v>36767.390956830124</v>
      </c>
    </row>
    <row r="128" spans="1:7" x14ac:dyDescent="0.25">
      <c r="A128">
        <v>125</v>
      </c>
      <c r="B128" s="4">
        <f>-PPMT('Owner Occupier'!$D$41/12,'FHA Amotization'!$A128,360,'Owner Occupier'!$D$40,0,0)</f>
        <v>772.86302561877437</v>
      </c>
      <c r="C128" s="4">
        <f>-IPMT('Owner Occupier'!$D$41/12,'FHA Amotization'!$A128,360,'Owner Occupier'!$D$40,0,0)</f>
        <v>1007.2969830256178</v>
      </c>
      <c r="D128" s="4">
        <f t="shared" si="3"/>
        <v>1780.1600086443923</v>
      </c>
      <c r="E128" s="3">
        <f t="shared" si="4"/>
        <v>283640.40276984981</v>
      </c>
      <c r="F128" s="4">
        <f>('Owner Occupier'!$H$24-'Owner Occupier'!$D$52)/('Owner Occupier'!$D$56-'Owner Occupier'!$D$52)*B128</f>
        <v>366.88692513379203</v>
      </c>
      <c r="G128" s="4">
        <f t="shared" si="5"/>
        <v>37134.277881963913</v>
      </c>
    </row>
    <row r="129" spans="1:7" x14ac:dyDescent="0.25">
      <c r="A129">
        <v>126</v>
      </c>
      <c r="B129" s="4">
        <f>-PPMT('Owner Occupier'!$D$41/12,'FHA Amotization'!$A129,360,'Owner Occupier'!$D$40,0,0)</f>
        <v>775.60024883450751</v>
      </c>
      <c r="C129" s="4">
        <f>-IPMT('Owner Occupier'!$D$41/12,'FHA Amotization'!$A129,360,'Owner Occupier'!$D$40,0,0)</f>
        <v>1004.5597598098847</v>
      </c>
      <c r="D129" s="4">
        <f t="shared" si="3"/>
        <v>1780.1600086443923</v>
      </c>
      <c r="E129" s="3">
        <f t="shared" si="4"/>
        <v>282864.80252101528</v>
      </c>
      <c r="F129" s="4">
        <f>('Owner Occupier'!$H$24-'Owner Occupier'!$D$52)/('Owner Occupier'!$D$56-'Owner Occupier'!$D$52)*B129</f>
        <v>368.18631632697418</v>
      </c>
      <c r="G129" s="4">
        <f t="shared" si="5"/>
        <v>37502.464198290887</v>
      </c>
    </row>
    <row r="130" spans="1:7" x14ac:dyDescent="0.25">
      <c r="A130">
        <v>127</v>
      </c>
      <c r="B130" s="4">
        <f>-PPMT('Owner Occupier'!$D$41/12,'FHA Amotization'!$A130,360,'Owner Occupier'!$D$40,0,0)</f>
        <v>778.34716638246312</v>
      </c>
      <c r="C130" s="4">
        <f>-IPMT('Owner Occupier'!$D$41/12,'FHA Amotization'!$A130,360,'Owner Occupier'!$D$40,0,0)</f>
        <v>1001.8128422619292</v>
      </c>
      <c r="D130" s="4">
        <f t="shared" si="3"/>
        <v>1780.1600086443923</v>
      </c>
      <c r="E130" s="3">
        <f t="shared" si="4"/>
        <v>282086.45535463281</v>
      </c>
      <c r="F130" s="4">
        <f>('Owner Occupier'!$H$24-'Owner Occupier'!$D$52)/('Owner Occupier'!$D$56-'Owner Occupier'!$D$52)*B130</f>
        <v>369.49030953063226</v>
      </c>
      <c r="G130" s="4">
        <f t="shared" si="5"/>
        <v>37871.954507821516</v>
      </c>
    </row>
    <row r="131" spans="1:7" x14ac:dyDescent="0.25">
      <c r="A131">
        <v>128</v>
      </c>
      <c r="B131" s="4">
        <f>-PPMT('Owner Occupier'!$D$41/12,'FHA Amotization'!$A131,360,'Owner Occupier'!$D$40,0,0)</f>
        <v>781.10381259673431</v>
      </c>
      <c r="C131" s="4">
        <f>-IPMT('Owner Occupier'!$D$41/12,'FHA Amotization'!$A131,360,'Owner Occupier'!$D$40,0,0)</f>
        <v>999.05619604765809</v>
      </c>
      <c r="D131" s="4">
        <f t="shared" si="3"/>
        <v>1780.1600086443923</v>
      </c>
      <c r="E131" s="3">
        <f t="shared" si="4"/>
        <v>281305.35154203605</v>
      </c>
      <c r="F131" s="4">
        <f>('Owner Occupier'!$H$24-'Owner Occupier'!$D$52)/('Owner Occupier'!$D$56-'Owner Occupier'!$D$52)*B131</f>
        <v>370.79892104355321</v>
      </c>
      <c r="G131" s="4">
        <f t="shared" si="5"/>
        <v>38242.753428865071</v>
      </c>
    </row>
    <row r="132" spans="1:7" x14ac:dyDescent="0.25">
      <c r="A132">
        <v>129</v>
      </c>
      <c r="B132" s="4">
        <f>-PPMT('Owner Occupier'!$D$41/12,'FHA Amotization'!$A132,360,'Owner Occupier'!$D$40,0,0)</f>
        <v>783.87022193301436</v>
      </c>
      <c r="C132" s="4">
        <f>-IPMT('Owner Occupier'!$D$41/12,'FHA Amotization'!$A132,360,'Owner Occupier'!$D$40,0,0)</f>
        <v>996.2897867113777</v>
      </c>
      <c r="D132" s="4">
        <f t="shared" si="3"/>
        <v>1780.1600086443921</v>
      </c>
      <c r="E132" s="3">
        <f t="shared" si="4"/>
        <v>280521.48132010305</v>
      </c>
      <c r="F132" s="4">
        <f>('Owner Occupier'!$H$24-'Owner Occupier'!$D$52)/('Owner Occupier'!$D$56-'Owner Occupier'!$D$52)*B132</f>
        <v>372.11216722224913</v>
      </c>
      <c r="G132" s="4">
        <f t="shared" si="5"/>
        <v>38614.865596087322</v>
      </c>
    </row>
    <row r="133" spans="1:7" x14ac:dyDescent="0.25">
      <c r="A133">
        <v>130</v>
      </c>
      <c r="B133" s="4">
        <f>-PPMT('Owner Occupier'!$D$41/12,'FHA Amotization'!$A133,360,'Owner Occupier'!$D$40,0,0)</f>
        <v>786.64642896902717</v>
      </c>
      <c r="C133" s="4">
        <f>-IPMT('Owner Occupier'!$D$41/12,'FHA Amotization'!$A133,360,'Owner Occupier'!$D$40,0,0)</f>
        <v>993.51357967536501</v>
      </c>
      <c r="D133" s="4">
        <f t="shared" ref="D133:D196" si="6">B133+C133</f>
        <v>1780.1600086443923</v>
      </c>
      <c r="E133" s="3">
        <f t="shared" si="4"/>
        <v>279734.834891134</v>
      </c>
      <c r="F133" s="4">
        <f>('Owner Occupier'!$H$24-'Owner Occupier'!$D$52)/('Owner Occupier'!$D$56-'Owner Occupier'!$D$52)*B133</f>
        <v>373.43006448116125</v>
      </c>
      <c r="G133" s="4">
        <f t="shared" si="5"/>
        <v>38988.295660568481</v>
      </c>
    </row>
    <row r="134" spans="1:7" x14ac:dyDescent="0.25">
      <c r="A134">
        <v>131</v>
      </c>
      <c r="B134" s="4">
        <f>-PPMT('Owner Occupier'!$D$41/12,'FHA Amotization'!$A134,360,'Owner Occupier'!$D$40,0,0)</f>
        <v>789.4324684049592</v>
      </c>
      <c r="C134" s="4">
        <f>-IPMT('Owner Occupier'!$D$41/12,'FHA Amotization'!$A134,360,'Owner Occupier'!$D$40,0,0)</f>
        <v>990.72754023943321</v>
      </c>
      <c r="D134" s="4">
        <f t="shared" si="6"/>
        <v>1780.1600086443923</v>
      </c>
      <c r="E134" s="3">
        <f t="shared" ref="E134:E197" si="7">E133-B134</f>
        <v>278945.40242272906</v>
      </c>
      <c r="F134" s="4">
        <f>('Owner Occupier'!$H$24-'Owner Occupier'!$D$52)/('Owner Occupier'!$D$56-'Owner Occupier'!$D$52)*B134</f>
        <v>374.75262929286538</v>
      </c>
      <c r="G134" s="4">
        <f t="shared" ref="G134:G197" si="8">F134+G133</f>
        <v>39363.048289861348</v>
      </c>
    </row>
    <row r="135" spans="1:7" x14ac:dyDescent="0.25">
      <c r="A135">
        <v>132</v>
      </c>
      <c r="B135" s="4">
        <f>-PPMT('Owner Occupier'!$D$41/12,'FHA Amotization'!$A135,360,'Owner Occupier'!$D$40,0,0)</f>
        <v>792.2283750638934</v>
      </c>
      <c r="C135" s="4">
        <f>-IPMT('Owner Occupier'!$D$41/12,'FHA Amotization'!$A135,360,'Owner Occupier'!$D$40,0,0)</f>
        <v>987.9316335804989</v>
      </c>
      <c r="D135" s="4">
        <f t="shared" si="6"/>
        <v>1780.1600086443923</v>
      </c>
      <c r="E135" s="3">
        <f t="shared" si="7"/>
        <v>278153.17404766515</v>
      </c>
      <c r="F135" s="4">
        <f>('Owner Occupier'!$H$24-'Owner Occupier'!$D$52)/('Owner Occupier'!$D$56-'Owner Occupier'!$D$52)*B135</f>
        <v>376.07987818827763</v>
      </c>
      <c r="G135" s="4">
        <f t="shared" si="8"/>
        <v>39739.128168049625</v>
      </c>
    </row>
    <row r="136" spans="1:7" x14ac:dyDescent="0.25">
      <c r="A136">
        <v>133</v>
      </c>
      <c r="B136" s="4">
        <f>-PPMT('Owner Occupier'!$D$41/12,'FHA Amotization'!$A136,360,'Owner Occupier'!$D$40,0,0)</f>
        <v>795.03418389224464</v>
      </c>
      <c r="C136" s="4">
        <f>-IPMT('Owner Occupier'!$D$41/12,'FHA Amotization'!$A136,360,'Owner Occupier'!$D$40,0,0)</f>
        <v>985.12582475214742</v>
      </c>
      <c r="D136" s="4">
        <f t="shared" si="6"/>
        <v>1780.1600086443921</v>
      </c>
      <c r="E136" s="3">
        <f t="shared" si="7"/>
        <v>277358.1398637729</v>
      </c>
      <c r="F136" s="4">
        <f>('Owner Occupier'!$H$24-'Owner Occupier'!$D$52)/('Owner Occupier'!$D$56-'Owner Occupier'!$D$52)*B136</f>
        <v>377.4118277568611</v>
      </c>
      <c r="G136" s="4">
        <f t="shared" si="8"/>
        <v>40116.539995806488</v>
      </c>
    </row>
    <row r="137" spans="1:7" x14ac:dyDescent="0.25">
      <c r="A137">
        <v>134</v>
      </c>
      <c r="B137" s="4">
        <f>-PPMT('Owner Occupier'!$D$41/12,'FHA Amotization'!$A137,360,'Owner Occupier'!$D$40,0,0)</f>
        <v>797.84992996019639</v>
      </c>
      <c r="C137" s="4">
        <f>-IPMT('Owner Occupier'!$D$41/12,'FHA Amotization'!$A137,360,'Owner Occupier'!$D$40,0,0)</f>
        <v>982.31007868419601</v>
      </c>
      <c r="D137" s="4">
        <f t="shared" si="6"/>
        <v>1780.1600086443923</v>
      </c>
      <c r="E137" s="3">
        <f t="shared" si="7"/>
        <v>276560.28993381269</v>
      </c>
      <c r="F137" s="4">
        <f>('Owner Occupier'!$H$24-'Owner Occupier'!$D$52)/('Owner Occupier'!$D$56-'Owner Occupier'!$D$52)*B137</f>
        <v>378.74849464683331</v>
      </c>
      <c r="G137" s="4">
        <f t="shared" si="8"/>
        <v>40495.28849045332</v>
      </c>
    </row>
    <row r="138" spans="1:7" x14ac:dyDescent="0.25">
      <c r="A138">
        <v>135</v>
      </c>
      <c r="B138" s="4">
        <f>-PPMT('Owner Occupier'!$D$41/12,'FHA Amotization'!$A138,360,'Owner Occupier'!$D$40,0,0)</f>
        <v>800.67564846213872</v>
      </c>
      <c r="C138" s="4">
        <f>-IPMT('Owner Occupier'!$D$41/12,'FHA Amotization'!$A138,360,'Owner Occupier'!$D$40,0,0)</f>
        <v>979.48436018225357</v>
      </c>
      <c r="D138" s="4">
        <f t="shared" si="6"/>
        <v>1780.1600086443923</v>
      </c>
      <c r="E138" s="3">
        <f t="shared" si="7"/>
        <v>275759.61428535054</v>
      </c>
      <c r="F138" s="4">
        <f>('Owner Occupier'!$H$24-'Owner Occupier'!$D$52)/('Owner Occupier'!$D$56-'Owner Occupier'!$D$52)*B138</f>
        <v>380.08989556537421</v>
      </c>
      <c r="G138" s="4">
        <f t="shared" si="8"/>
        <v>40875.378386018696</v>
      </c>
    </row>
    <row r="139" spans="1:7" x14ac:dyDescent="0.25">
      <c r="A139">
        <v>136</v>
      </c>
      <c r="B139" s="4">
        <f>-PPMT('Owner Occupier'!$D$41/12,'FHA Amotization'!$A139,360,'Owner Occupier'!$D$40,0,0)</f>
        <v>803.51137471710877</v>
      </c>
      <c r="C139" s="4">
        <f>-IPMT('Owner Occupier'!$D$41/12,'FHA Amotization'!$A139,360,'Owner Occupier'!$D$40,0,0)</f>
        <v>976.64863392728341</v>
      </c>
      <c r="D139" s="4">
        <f t="shared" si="6"/>
        <v>1780.1600086443923</v>
      </c>
      <c r="E139" s="3">
        <f t="shared" si="7"/>
        <v>274956.10291063343</v>
      </c>
      <c r="F139" s="4">
        <f>('Owner Occupier'!$H$24-'Owner Occupier'!$D$52)/('Owner Occupier'!$D$56-'Owner Occupier'!$D$52)*B139</f>
        <v>381.43604727883485</v>
      </c>
      <c r="G139" s="4">
        <f t="shared" si="8"/>
        <v>41256.814433297528</v>
      </c>
    </row>
    <row r="140" spans="1:7" x14ac:dyDescent="0.25">
      <c r="A140">
        <v>137</v>
      </c>
      <c r="B140" s="4">
        <f>-PPMT('Owner Occupier'!$D$41/12,'FHA Amotization'!$A140,360,'Owner Occupier'!$D$40,0,0)</f>
        <v>806.3571441692319</v>
      </c>
      <c r="C140" s="4">
        <f>-IPMT('Owner Occupier'!$D$41/12,'FHA Amotization'!$A140,360,'Owner Occupier'!$D$40,0,0)</f>
        <v>973.80286447516039</v>
      </c>
      <c r="D140" s="4">
        <f t="shared" si="6"/>
        <v>1780.1600086443923</v>
      </c>
      <c r="E140" s="3">
        <f t="shared" si="7"/>
        <v>274149.74576646421</v>
      </c>
      <c r="F140" s="4">
        <f>('Owner Occupier'!$H$24-'Owner Occupier'!$D$52)/('Owner Occupier'!$D$56-'Owner Occupier'!$D$52)*B140</f>
        <v>382.78696661294742</v>
      </c>
      <c r="G140" s="4">
        <f t="shared" si="8"/>
        <v>41639.601399910476</v>
      </c>
    </row>
    <row r="141" spans="1:7" x14ac:dyDescent="0.25">
      <c r="A141">
        <v>138</v>
      </c>
      <c r="B141" s="4">
        <f>-PPMT('Owner Occupier'!$D$41/12,'FHA Amotization'!$A141,360,'Owner Occupier'!$D$40,0,0)</f>
        <v>809.21299238816459</v>
      </c>
      <c r="C141" s="4">
        <f>-IPMT('Owner Occupier'!$D$41/12,'FHA Amotization'!$A141,360,'Owner Occupier'!$D$40,0,0)</f>
        <v>970.9470162562277</v>
      </c>
      <c r="D141" s="4">
        <f t="shared" si="6"/>
        <v>1780.1600086443923</v>
      </c>
      <c r="E141" s="3">
        <f t="shared" si="7"/>
        <v>273340.53277407604</v>
      </c>
      <c r="F141" s="4">
        <f>('Owner Occupier'!$H$24-'Owner Occupier'!$D$52)/('Owner Occupier'!$D$56-'Owner Occupier'!$D$52)*B141</f>
        <v>384.14267045303495</v>
      </c>
      <c r="G141" s="4">
        <f t="shared" si="8"/>
        <v>42023.744070363507</v>
      </c>
    </row>
    <row r="142" spans="1:7" x14ac:dyDescent="0.25">
      <c r="A142">
        <v>139</v>
      </c>
      <c r="B142" s="4">
        <f>-PPMT('Owner Occupier'!$D$41/12,'FHA Amotization'!$A142,360,'Owner Occupier'!$D$40,0,0)</f>
        <v>812.07895506953935</v>
      </c>
      <c r="C142" s="4">
        <f>-IPMT('Owner Occupier'!$D$41/12,'FHA Amotization'!$A142,360,'Owner Occupier'!$D$40,0,0)</f>
        <v>968.08105357485272</v>
      </c>
      <c r="D142" s="4">
        <f t="shared" si="6"/>
        <v>1780.1600086443921</v>
      </c>
      <c r="E142" s="3">
        <f t="shared" si="7"/>
        <v>272528.45381900651</v>
      </c>
      <c r="F142" s="4">
        <f>('Owner Occupier'!$H$24-'Owner Occupier'!$D$52)/('Owner Occupier'!$D$56-'Owner Occupier'!$D$52)*B142</f>
        <v>385.5031757442228</v>
      </c>
      <c r="G142" s="4">
        <f t="shared" si="8"/>
        <v>42409.247246107727</v>
      </c>
    </row>
    <row r="143" spans="1:7" x14ac:dyDescent="0.25">
      <c r="A143">
        <v>140</v>
      </c>
      <c r="B143" s="4">
        <f>-PPMT('Owner Occupier'!$D$41/12,'FHA Amotization'!$A143,360,'Owner Occupier'!$D$40,0,0)</f>
        <v>814.95506803541059</v>
      </c>
      <c r="C143" s="4">
        <f>-IPMT('Owner Occupier'!$D$41/12,'FHA Amotization'!$A143,360,'Owner Occupier'!$D$40,0,0)</f>
        <v>965.2049406089817</v>
      </c>
      <c r="D143" s="4">
        <f t="shared" si="6"/>
        <v>1780.1600086443923</v>
      </c>
      <c r="E143" s="3">
        <f t="shared" si="7"/>
        <v>271713.49875097111</v>
      </c>
      <c r="F143" s="4">
        <f>('Owner Occupier'!$H$24-'Owner Occupier'!$D$52)/('Owner Occupier'!$D$56-'Owner Occupier'!$D$52)*B143</f>
        <v>386.8684994916502</v>
      </c>
      <c r="G143" s="4">
        <f t="shared" si="8"/>
        <v>42796.115745599374</v>
      </c>
    </row>
    <row r="144" spans="1:7" x14ac:dyDescent="0.25">
      <c r="A144">
        <v>141</v>
      </c>
      <c r="B144" s="4">
        <f>-PPMT('Owner Occupier'!$D$41/12,'FHA Amotization'!$A144,360,'Owner Occupier'!$D$40,0,0)</f>
        <v>817.84136723470272</v>
      </c>
      <c r="C144" s="4">
        <f>-IPMT('Owner Occupier'!$D$41/12,'FHA Amotization'!$A144,360,'Owner Occupier'!$D$40,0,0)</f>
        <v>962.31864140968958</v>
      </c>
      <c r="D144" s="4">
        <f t="shared" si="6"/>
        <v>1780.1600086443923</v>
      </c>
      <c r="E144" s="3">
        <f t="shared" si="7"/>
        <v>270895.6573837364</v>
      </c>
      <c r="F144" s="4">
        <f>('Owner Occupier'!$H$24-'Owner Occupier'!$D$52)/('Owner Occupier'!$D$56-'Owner Occupier'!$D$52)*B144</f>
        <v>388.23865876068317</v>
      </c>
      <c r="G144" s="4">
        <f t="shared" si="8"/>
        <v>43184.354404360056</v>
      </c>
    </row>
    <row r="145" spans="1:7" x14ac:dyDescent="0.25">
      <c r="A145">
        <v>142</v>
      </c>
      <c r="B145" s="4">
        <f>-PPMT('Owner Occupier'!$D$41/12,'FHA Amotization'!$A145,360,'Owner Occupier'!$D$40,0,0)</f>
        <v>820.73788874365891</v>
      </c>
      <c r="C145" s="4">
        <f>-IPMT('Owner Occupier'!$D$41/12,'FHA Amotization'!$A145,360,'Owner Occupier'!$D$40,0,0)</f>
        <v>959.42211990073338</v>
      </c>
      <c r="D145" s="4">
        <f t="shared" si="6"/>
        <v>1780.1600086443923</v>
      </c>
      <c r="E145" s="3">
        <f t="shared" si="7"/>
        <v>270074.91949499276</v>
      </c>
      <c r="F145" s="4">
        <f>('Owner Occupier'!$H$24-'Owner Occupier'!$D$52)/('Owner Occupier'!$D$56-'Owner Occupier'!$D$52)*B145</f>
        <v>389.61367067712723</v>
      </c>
      <c r="G145" s="4">
        <f t="shared" si="8"/>
        <v>43573.968075037184</v>
      </c>
    </row>
    <row r="146" spans="1:7" x14ac:dyDescent="0.25">
      <c r="A146">
        <v>143</v>
      </c>
      <c r="B146" s="4">
        <f>-PPMT('Owner Occupier'!$D$41/12,'FHA Amotization'!$A146,360,'Owner Occupier'!$D$40,0,0)</f>
        <v>823.64466876629274</v>
      </c>
      <c r="C146" s="4">
        <f>-IPMT('Owner Occupier'!$D$41/12,'FHA Amotization'!$A146,360,'Owner Occupier'!$D$40,0,0)</f>
        <v>956.51533987809967</v>
      </c>
      <c r="D146" s="4">
        <f t="shared" si="6"/>
        <v>1780.1600086443923</v>
      </c>
      <c r="E146" s="3">
        <f t="shared" si="7"/>
        <v>269251.27482622646</v>
      </c>
      <c r="F146" s="4">
        <f>('Owner Occupier'!$H$24-'Owner Occupier'!$D$52)/('Owner Occupier'!$D$56-'Owner Occupier'!$D$52)*B146</f>
        <v>390.99355242744207</v>
      </c>
      <c r="G146" s="4">
        <f t="shared" si="8"/>
        <v>43964.961627464625</v>
      </c>
    </row>
    <row r="147" spans="1:7" x14ac:dyDescent="0.25">
      <c r="A147">
        <v>144</v>
      </c>
      <c r="B147" s="4">
        <f>-PPMT('Owner Occupier'!$D$41/12,'FHA Amotization'!$A147,360,'Owner Occupier'!$D$40,0,0)</f>
        <v>826.56174363484001</v>
      </c>
      <c r="C147" s="4">
        <f>-IPMT('Owner Occupier'!$D$41/12,'FHA Amotization'!$A147,360,'Owner Occupier'!$D$40,0,0)</f>
        <v>953.59826500955216</v>
      </c>
      <c r="D147" s="4">
        <f t="shared" si="6"/>
        <v>1780.1600086443923</v>
      </c>
      <c r="E147" s="3">
        <f t="shared" si="7"/>
        <v>268424.71308259165</v>
      </c>
      <c r="F147" s="4">
        <f>('Owner Occupier'!$H$24-'Owner Occupier'!$D$52)/('Owner Occupier'!$D$56-'Owner Occupier'!$D$52)*B147</f>
        <v>392.37832125895591</v>
      </c>
      <c r="G147" s="4">
        <f t="shared" si="8"/>
        <v>44357.33994872358</v>
      </c>
    </row>
    <row r="148" spans="1:7" x14ac:dyDescent="0.25">
      <c r="A148">
        <v>145</v>
      </c>
      <c r="B148" s="4">
        <f>-PPMT('Owner Occupier'!$D$41/12,'FHA Amotization'!$A148,360,'Owner Occupier'!$D$40,0,0)</f>
        <v>829.48914981021335</v>
      </c>
      <c r="C148" s="4">
        <f>-IPMT('Owner Occupier'!$D$41/12,'FHA Amotization'!$A148,360,'Owner Occupier'!$D$40,0,0)</f>
        <v>950.67085883417883</v>
      </c>
      <c r="D148" s="4">
        <f t="shared" si="6"/>
        <v>1780.1600086443923</v>
      </c>
      <c r="E148" s="3">
        <f t="shared" si="7"/>
        <v>267595.22393278143</v>
      </c>
      <c r="F148" s="4">
        <f>('Owner Occupier'!$H$24-'Owner Occupier'!$D$52)/('Owner Occupier'!$D$56-'Owner Occupier'!$D$52)*B148</f>
        <v>393.76799448008137</v>
      </c>
      <c r="G148" s="4">
        <f t="shared" si="8"/>
        <v>44751.107943203664</v>
      </c>
    </row>
    <row r="149" spans="1:7" x14ac:dyDescent="0.25">
      <c r="A149">
        <v>146</v>
      </c>
      <c r="B149" s="4">
        <f>-PPMT('Owner Occupier'!$D$41/12,'FHA Amotization'!$A149,360,'Owner Occupier'!$D$40,0,0)</f>
        <v>832.42692388245791</v>
      </c>
      <c r="C149" s="4">
        <f>-IPMT('Owner Occupier'!$D$41/12,'FHA Amotization'!$A149,360,'Owner Occupier'!$D$40,0,0)</f>
        <v>947.73308476193449</v>
      </c>
      <c r="D149" s="4">
        <f t="shared" si="6"/>
        <v>1780.1600086443923</v>
      </c>
      <c r="E149" s="3">
        <f t="shared" si="7"/>
        <v>266762.79700889898</v>
      </c>
      <c r="F149" s="4">
        <f>('Owner Occupier'!$H$24-'Owner Occupier'!$D$52)/('Owner Occupier'!$D$56-'Owner Occupier'!$D$52)*B149</f>
        <v>395.16258946053171</v>
      </c>
      <c r="G149" s="4">
        <f t="shared" si="8"/>
        <v>45146.270532664195</v>
      </c>
    </row>
    <row r="150" spans="1:7" x14ac:dyDescent="0.25">
      <c r="A150">
        <v>147</v>
      </c>
      <c r="B150" s="4">
        <f>-PPMT('Owner Occupier'!$D$41/12,'FHA Amotization'!$A150,360,'Owner Occupier'!$D$40,0,0)</f>
        <v>835.37510257120823</v>
      </c>
      <c r="C150" s="4">
        <f>-IPMT('Owner Occupier'!$D$41/12,'FHA Amotization'!$A150,360,'Owner Occupier'!$D$40,0,0)</f>
        <v>944.78490607318417</v>
      </c>
      <c r="D150" s="4">
        <f t="shared" si="6"/>
        <v>1780.1600086443923</v>
      </c>
      <c r="E150" s="3">
        <f t="shared" si="7"/>
        <v>265927.42190632777</v>
      </c>
      <c r="F150" s="4">
        <f>('Owner Occupier'!$H$24-'Owner Occupier'!$D$52)/('Owner Occupier'!$D$56-'Owner Occupier'!$D$52)*B150</f>
        <v>396.5621236315377</v>
      </c>
      <c r="G150" s="4">
        <f t="shared" si="8"/>
        <v>45542.83265629573</v>
      </c>
    </row>
    <row r="151" spans="1:7" x14ac:dyDescent="0.25">
      <c r="A151">
        <v>148</v>
      </c>
      <c r="B151" s="4">
        <f>-PPMT('Owner Occupier'!$D$41/12,'FHA Amotization'!$A151,360,'Owner Occupier'!$D$40,0,0)</f>
        <v>838.33372272614804</v>
      </c>
      <c r="C151" s="4">
        <f>-IPMT('Owner Occupier'!$D$41/12,'FHA Amotization'!$A151,360,'Owner Occupier'!$D$40,0,0)</f>
        <v>941.82628591824425</v>
      </c>
      <c r="D151" s="4">
        <f t="shared" si="6"/>
        <v>1780.1600086443923</v>
      </c>
      <c r="E151" s="3">
        <f t="shared" si="7"/>
        <v>265089.08818360162</v>
      </c>
      <c r="F151" s="4">
        <f>('Owner Occupier'!$H$24-'Owner Occupier'!$D$52)/('Owner Occupier'!$D$56-'Owner Occupier'!$D$52)*B151</f>
        <v>397.96661448606613</v>
      </c>
      <c r="G151" s="4">
        <f t="shared" si="8"/>
        <v>45940.799270781798</v>
      </c>
    </row>
    <row r="152" spans="1:7" x14ac:dyDescent="0.25">
      <c r="A152">
        <v>149</v>
      </c>
      <c r="B152" s="4">
        <f>-PPMT('Owner Occupier'!$D$41/12,'FHA Amotization'!$A152,360,'Owner Occupier'!$D$40,0,0)</f>
        <v>841.30282132746981</v>
      </c>
      <c r="C152" s="4">
        <f>-IPMT('Owner Occupier'!$D$41/12,'FHA Amotization'!$A152,360,'Owner Occupier'!$D$40,0,0)</f>
        <v>938.85718731692248</v>
      </c>
      <c r="D152" s="4">
        <f t="shared" si="6"/>
        <v>1780.1600086443923</v>
      </c>
      <c r="E152" s="3">
        <f t="shared" si="7"/>
        <v>264247.78536227415</v>
      </c>
      <c r="F152" s="4">
        <f>('Owner Occupier'!$H$24-'Owner Occupier'!$D$52)/('Owner Occupier'!$D$56-'Owner Occupier'!$D$52)*B152</f>
        <v>399.37607957903759</v>
      </c>
      <c r="G152" s="4">
        <f t="shared" si="8"/>
        <v>46340.175350360834</v>
      </c>
    </row>
    <row r="153" spans="1:7" x14ac:dyDescent="0.25">
      <c r="A153">
        <v>150</v>
      </c>
      <c r="B153" s="4">
        <f>-PPMT('Owner Occupier'!$D$41/12,'FHA Amotization'!$A153,360,'Owner Occupier'!$D$40,0,0)</f>
        <v>844.28243548633793</v>
      </c>
      <c r="C153" s="4">
        <f>-IPMT('Owner Occupier'!$D$41/12,'FHA Amotization'!$A153,360,'Owner Occupier'!$D$40,0,0)</f>
        <v>935.87757315805413</v>
      </c>
      <c r="D153" s="4">
        <f t="shared" si="6"/>
        <v>1780.1600086443921</v>
      </c>
      <c r="E153" s="3">
        <f t="shared" si="7"/>
        <v>263403.50292678783</v>
      </c>
      <c r="F153" s="4">
        <f>('Owner Occupier'!$H$24-'Owner Occupier'!$D$52)/('Owner Occupier'!$D$56-'Owner Occupier'!$D$52)*B153</f>
        <v>400.79053652754669</v>
      </c>
      <c r="G153" s="4">
        <f t="shared" si="8"/>
        <v>46740.965886888378</v>
      </c>
    </row>
    <row r="154" spans="1:7" x14ac:dyDescent="0.25">
      <c r="A154">
        <v>151</v>
      </c>
      <c r="B154" s="4">
        <f>-PPMT('Owner Occupier'!$D$41/12,'FHA Amotization'!$A154,360,'Owner Occupier'!$D$40,0,0)</f>
        <v>847.27260244535205</v>
      </c>
      <c r="C154" s="4">
        <f>-IPMT('Owner Occupier'!$D$41/12,'FHA Amotization'!$A154,360,'Owner Occupier'!$D$40,0,0)</f>
        <v>932.88740619904013</v>
      </c>
      <c r="D154" s="4">
        <f t="shared" si="6"/>
        <v>1780.1600086443923</v>
      </c>
      <c r="E154" s="3">
        <f t="shared" si="7"/>
        <v>262556.2303243425</v>
      </c>
      <c r="F154" s="4">
        <f>('Owner Occupier'!$H$24-'Owner Occupier'!$D$52)/('Owner Occupier'!$D$56-'Owner Occupier'!$D$52)*B154</f>
        <v>402.21000301108177</v>
      </c>
      <c r="G154" s="4">
        <f t="shared" si="8"/>
        <v>47143.175889899459</v>
      </c>
    </row>
    <row r="155" spans="1:7" x14ac:dyDescent="0.25">
      <c r="A155">
        <v>152</v>
      </c>
      <c r="B155" s="4">
        <f>-PPMT('Owner Occupier'!$D$41/12,'FHA Amotization'!$A155,360,'Owner Occupier'!$D$40,0,0)</f>
        <v>850.27335957901266</v>
      </c>
      <c r="C155" s="4">
        <f>-IPMT('Owner Occupier'!$D$41/12,'FHA Amotization'!$A155,360,'Owner Occupier'!$D$40,0,0)</f>
        <v>929.88664906537974</v>
      </c>
      <c r="D155" s="4">
        <f t="shared" si="6"/>
        <v>1780.1600086443923</v>
      </c>
      <c r="E155" s="3">
        <f t="shared" si="7"/>
        <v>261705.95696476349</v>
      </c>
      <c r="F155" s="4">
        <f>('Owner Occupier'!$H$24-'Owner Occupier'!$D$52)/('Owner Occupier'!$D$56-'Owner Occupier'!$D$52)*B155</f>
        <v>403.634496771746</v>
      </c>
      <c r="G155" s="4">
        <f t="shared" si="8"/>
        <v>47546.810386671204</v>
      </c>
    </row>
    <row r="156" spans="1:7" x14ac:dyDescent="0.25">
      <c r="A156">
        <v>153</v>
      </c>
      <c r="B156" s="4">
        <f>-PPMT('Owner Occupier'!$D$41/12,'FHA Amotization'!$A156,360,'Owner Occupier'!$D$40,0,0)</f>
        <v>853.28474439418835</v>
      </c>
      <c r="C156" s="4">
        <f>-IPMT('Owner Occupier'!$D$41/12,'FHA Amotization'!$A156,360,'Owner Occupier'!$D$40,0,0)</f>
        <v>926.87526425020394</v>
      </c>
      <c r="D156" s="4">
        <f t="shared" si="6"/>
        <v>1780.1600086443923</v>
      </c>
      <c r="E156" s="3">
        <f t="shared" si="7"/>
        <v>260852.67222036931</v>
      </c>
      <c r="F156" s="4">
        <f>('Owner Occupier'!$H$24-'Owner Occupier'!$D$52)/('Owner Occupier'!$D$56-'Owner Occupier'!$D$52)*B156</f>
        <v>405.06403561447928</v>
      </c>
      <c r="G156" s="4">
        <f t="shared" si="8"/>
        <v>47951.874422285684</v>
      </c>
    </row>
    <row r="157" spans="1:7" x14ac:dyDescent="0.25">
      <c r="A157">
        <v>154</v>
      </c>
      <c r="B157" s="4">
        <f>-PPMT('Owner Occupier'!$D$41/12,'FHA Amotization'!$A157,360,'Owner Occupier'!$D$40,0,0)</f>
        <v>856.3067945305844</v>
      </c>
      <c r="C157" s="4">
        <f>-IPMT('Owner Occupier'!$D$41/12,'FHA Amotization'!$A157,360,'Owner Occupier'!$D$40,0,0)</f>
        <v>923.85321411380778</v>
      </c>
      <c r="D157" s="4">
        <f t="shared" si="6"/>
        <v>1780.1600086443923</v>
      </c>
      <c r="E157" s="3">
        <f t="shared" si="7"/>
        <v>259996.36542583871</v>
      </c>
      <c r="F157" s="4">
        <f>('Owner Occupier'!$H$24-'Owner Occupier'!$D$52)/('Owner Occupier'!$D$56-'Owner Occupier'!$D$52)*B157</f>
        <v>406.49863740728057</v>
      </c>
      <c r="G157" s="4">
        <f t="shared" si="8"/>
        <v>48358.373059692967</v>
      </c>
    </row>
    <row r="158" spans="1:7" x14ac:dyDescent="0.25">
      <c r="A158">
        <v>155</v>
      </c>
      <c r="B158" s="4">
        <f>-PPMT('Owner Occupier'!$D$41/12,'FHA Amotization'!$A158,360,'Owner Occupier'!$D$40,0,0)</f>
        <v>859.33954776121357</v>
      </c>
      <c r="C158" s="4">
        <f>-IPMT('Owner Occupier'!$D$41/12,'FHA Amotization'!$A158,360,'Owner Occupier'!$D$40,0,0)</f>
        <v>920.82046088317861</v>
      </c>
      <c r="D158" s="4">
        <f t="shared" si="6"/>
        <v>1780.1600086443923</v>
      </c>
      <c r="E158" s="3">
        <f t="shared" si="7"/>
        <v>259137.02587807749</v>
      </c>
      <c r="F158" s="4">
        <f>('Owner Occupier'!$H$24-'Owner Occupier'!$D$52)/('Owner Occupier'!$D$56-'Owner Occupier'!$D$52)*B158</f>
        <v>407.93832008143136</v>
      </c>
      <c r="G158" s="4">
        <f t="shared" si="8"/>
        <v>48766.311379774401</v>
      </c>
    </row>
    <row r="159" spans="1:7" x14ac:dyDescent="0.25">
      <c r="A159">
        <v>156</v>
      </c>
      <c r="B159" s="4">
        <f>-PPMT('Owner Occupier'!$D$41/12,'FHA Amotization'!$A159,360,'Owner Occupier'!$D$40,0,0)</f>
        <v>862.3830419928679</v>
      </c>
      <c r="C159" s="4">
        <f>-IPMT('Owner Occupier'!$D$41/12,'FHA Amotization'!$A159,360,'Owner Occupier'!$D$40,0,0)</f>
        <v>917.77696665152416</v>
      </c>
      <c r="D159" s="4">
        <f t="shared" si="6"/>
        <v>1780.1600086443921</v>
      </c>
      <c r="E159" s="3">
        <f t="shared" si="7"/>
        <v>258274.64283608462</v>
      </c>
      <c r="F159" s="4">
        <f>('Owner Occupier'!$H$24-'Owner Occupier'!$D$52)/('Owner Occupier'!$D$56-'Owner Occupier'!$D$52)*B159</f>
        <v>409.38310163171974</v>
      </c>
      <c r="G159" s="4">
        <f t="shared" si="8"/>
        <v>49175.694481406121</v>
      </c>
    </row>
    <row r="160" spans="1:7" x14ac:dyDescent="0.25">
      <c r="A160">
        <v>157</v>
      </c>
      <c r="B160" s="4">
        <f>-PPMT('Owner Occupier'!$D$41/12,'FHA Amotization'!$A160,360,'Owner Occupier'!$D$40,0,0)</f>
        <v>865.43731526659269</v>
      </c>
      <c r="C160" s="4">
        <f>-IPMT('Owner Occupier'!$D$41/12,'FHA Amotization'!$A160,360,'Owner Occupier'!$D$40,0,0)</f>
        <v>914.7226933777996</v>
      </c>
      <c r="D160" s="4">
        <f t="shared" si="6"/>
        <v>1780.1600086443923</v>
      </c>
      <c r="E160" s="3">
        <f t="shared" si="7"/>
        <v>257409.20552081804</v>
      </c>
      <c r="F160" s="4">
        <f>('Owner Occupier'!$H$24-'Owner Occupier'!$D$52)/('Owner Occupier'!$D$56-'Owner Occupier'!$D$52)*B160</f>
        <v>410.83300011666546</v>
      </c>
      <c r="G160" s="4">
        <f t="shared" si="8"/>
        <v>49586.527481522789</v>
      </c>
    </row>
    <row r="161" spans="1:7" x14ac:dyDescent="0.25">
      <c r="A161">
        <v>158</v>
      </c>
      <c r="B161" s="4">
        <f>-PPMT('Owner Occupier'!$D$41/12,'FHA Amotization'!$A161,360,'Owner Occupier'!$D$40,0,0)</f>
        <v>868.50240575816179</v>
      </c>
      <c r="C161" s="4">
        <f>-IPMT('Owner Occupier'!$D$41/12,'FHA Amotization'!$A161,360,'Owner Occupier'!$D$40,0,0)</f>
        <v>911.65760288623039</v>
      </c>
      <c r="D161" s="4">
        <f t="shared" si="6"/>
        <v>1780.1600086443923</v>
      </c>
      <c r="E161" s="3">
        <f t="shared" si="7"/>
        <v>256540.70311505988</v>
      </c>
      <c r="F161" s="4">
        <f>('Owner Occupier'!$H$24-'Owner Occupier'!$D$52)/('Owner Occupier'!$D$56-'Owner Occupier'!$D$52)*B161</f>
        <v>412.28803365874529</v>
      </c>
      <c r="G161" s="4">
        <f t="shared" si="8"/>
        <v>49998.815515181537</v>
      </c>
    </row>
    <row r="162" spans="1:7" x14ac:dyDescent="0.25">
      <c r="A162">
        <v>159</v>
      </c>
      <c r="B162" s="4">
        <f>-PPMT('Owner Occupier'!$D$41/12,'FHA Amotization'!$A162,360,'Owner Occupier'!$D$40,0,0)</f>
        <v>871.57835177855532</v>
      </c>
      <c r="C162" s="4">
        <f>-IPMT('Owner Occupier'!$D$41/12,'FHA Amotization'!$A162,360,'Owner Occupier'!$D$40,0,0)</f>
        <v>908.58165686583698</v>
      </c>
      <c r="D162" s="4">
        <f t="shared" si="6"/>
        <v>1780.1600086443923</v>
      </c>
      <c r="E162" s="3">
        <f t="shared" si="7"/>
        <v>255669.12476328132</v>
      </c>
      <c r="F162" s="4">
        <f>('Owner Occupier'!$H$24-'Owner Occupier'!$D$52)/('Owner Occupier'!$D$56-'Owner Occupier'!$D$52)*B162</f>
        <v>413.74822044462002</v>
      </c>
      <c r="G162" s="4">
        <f t="shared" si="8"/>
        <v>50412.563735626158</v>
      </c>
    </row>
    <row r="163" spans="1:7" x14ac:dyDescent="0.25">
      <c r="A163">
        <v>160</v>
      </c>
      <c r="B163" s="4">
        <f>-PPMT('Owner Occupier'!$D$41/12,'FHA Amotization'!$A163,360,'Owner Occupier'!$D$40,0,0)</f>
        <v>874.66519177443774</v>
      </c>
      <c r="C163" s="4">
        <f>-IPMT('Owner Occupier'!$D$41/12,'FHA Amotization'!$A163,360,'Owner Occupier'!$D$40,0,0)</f>
        <v>905.49481686995443</v>
      </c>
      <c r="D163" s="4">
        <f t="shared" si="6"/>
        <v>1780.1600086443923</v>
      </c>
      <c r="E163" s="3">
        <f t="shared" si="7"/>
        <v>254794.45957150689</v>
      </c>
      <c r="F163" s="4">
        <f>('Owner Occupier'!$H$24-'Owner Occupier'!$D$52)/('Owner Occupier'!$D$56-'Owner Occupier'!$D$52)*B163</f>
        <v>415.2135787253614</v>
      </c>
      <c r="G163" s="4">
        <f t="shared" si="8"/>
        <v>50827.777314351522</v>
      </c>
    </row>
    <row r="164" spans="1:7" x14ac:dyDescent="0.25">
      <c r="A164">
        <v>161</v>
      </c>
      <c r="B164" s="4">
        <f>-PPMT('Owner Occupier'!$D$41/12,'FHA Amotization'!$A164,360,'Owner Occupier'!$D$40,0,0)</f>
        <v>877.76296432863887</v>
      </c>
      <c r="C164" s="4">
        <f>-IPMT('Owner Occupier'!$D$41/12,'FHA Amotization'!$A164,360,'Owner Occupier'!$D$40,0,0)</f>
        <v>902.39704431575353</v>
      </c>
      <c r="D164" s="4">
        <f t="shared" si="6"/>
        <v>1780.1600086443923</v>
      </c>
      <c r="E164" s="3">
        <f t="shared" si="7"/>
        <v>253916.69660717825</v>
      </c>
      <c r="F164" s="4">
        <f>('Owner Occupier'!$H$24-'Owner Occupier'!$D$52)/('Owner Occupier'!$D$56-'Owner Occupier'!$D$52)*B164</f>
        <v>416.68412681668036</v>
      </c>
      <c r="G164" s="4">
        <f t="shared" si="8"/>
        <v>51244.461441168205</v>
      </c>
    </row>
    <row r="165" spans="1:7" x14ac:dyDescent="0.25">
      <c r="A165">
        <v>162</v>
      </c>
      <c r="B165" s="4">
        <f>-PPMT('Owner Occupier'!$D$41/12,'FHA Amotization'!$A165,360,'Owner Occupier'!$D$40,0,0)</f>
        <v>880.8717081606361</v>
      </c>
      <c r="C165" s="4">
        <f>-IPMT('Owner Occupier'!$D$41/12,'FHA Amotization'!$A165,360,'Owner Occupier'!$D$40,0,0)</f>
        <v>899.28830048375607</v>
      </c>
      <c r="D165" s="4">
        <f t="shared" si="6"/>
        <v>1780.1600086443923</v>
      </c>
      <c r="E165" s="3">
        <f t="shared" si="7"/>
        <v>253035.82489901761</v>
      </c>
      <c r="F165" s="4">
        <f>('Owner Occupier'!$H$24-'Owner Occupier'!$D$52)/('Owner Occupier'!$D$56-'Owner Occupier'!$D$52)*B165</f>
        <v>418.1598830991561</v>
      </c>
      <c r="G165" s="4">
        <f t="shared" si="8"/>
        <v>51662.621324267362</v>
      </c>
    </row>
    <row r="166" spans="1:7" x14ac:dyDescent="0.25">
      <c r="A166">
        <v>163</v>
      </c>
      <c r="B166" s="4">
        <f>-PPMT('Owner Occupier'!$D$41/12,'FHA Amotization'!$A166,360,'Owner Occupier'!$D$40,0,0)</f>
        <v>883.99146212703829</v>
      </c>
      <c r="C166" s="4">
        <f>-IPMT('Owner Occupier'!$D$41/12,'FHA Amotization'!$A166,360,'Owner Occupier'!$D$40,0,0)</f>
        <v>896.16854651735389</v>
      </c>
      <c r="D166" s="4">
        <f t="shared" si="6"/>
        <v>1780.1600086443923</v>
      </c>
      <c r="E166" s="3">
        <f t="shared" si="7"/>
        <v>252151.83343689056</v>
      </c>
      <c r="F166" s="4">
        <f>('Owner Occupier'!$H$24-'Owner Occupier'!$D$52)/('Owner Occupier'!$D$56-'Owner Occupier'!$D$52)*B166</f>
        <v>419.6408660184656</v>
      </c>
      <c r="G166" s="4">
        <f t="shared" si="8"/>
        <v>52082.26219028583</v>
      </c>
    </row>
    <row r="167" spans="1:7" x14ac:dyDescent="0.25">
      <c r="A167">
        <v>164</v>
      </c>
      <c r="B167" s="4">
        <f>-PPMT('Owner Occupier'!$D$41/12,'FHA Amotization'!$A167,360,'Owner Occupier'!$D$40,0,0)</f>
        <v>887.12226522207163</v>
      </c>
      <c r="C167" s="4">
        <f>-IPMT('Owner Occupier'!$D$41/12,'FHA Amotization'!$A167,360,'Owner Occupier'!$D$40,0,0)</f>
        <v>893.03774342232066</v>
      </c>
      <c r="D167" s="4">
        <f t="shared" si="6"/>
        <v>1780.1600086443923</v>
      </c>
      <c r="E167" s="3">
        <f t="shared" si="7"/>
        <v>251264.71117166849</v>
      </c>
      <c r="F167" s="4">
        <f>('Owner Occupier'!$H$24-'Owner Occupier'!$D$52)/('Owner Occupier'!$D$56-'Owner Occupier'!$D$52)*B167</f>
        <v>421.12709408561437</v>
      </c>
      <c r="G167" s="4">
        <f t="shared" si="8"/>
        <v>52503.389284371442</v>
      </c>
    </row>
    <row r="168" spans="1:7" x14ac:dyDescent="0.25">
      <c r="A168">
        <v>165</v>
      </c>
      <c r="B168" s="4">
        <f>-PPMT('Owner Occupier'!$D$41/12,'FHA Amotization'!$A168,360,'Owner Occupier'!$D$40,0,0)</f>
        <v>890.26415657806649</v>
      </c>
      <c r="C168" s="4">
        <f>-IPMT('Owner Occupier'!$D$41/12,'FHA Amotization'!$A168,360,'Owner Occupier'!$D$40,0,0)</f>
        <v>889.8958520663258</v>
      </c>
      <c r="D168" s="4">
        <f t="shared" si="6"/>
        <v>1780.1600086443923</v>
      </c>
      <c r="E168" s="3">
        <f t="shared" si="7"/>
        <v>250374.44701509041</v>
      </c>
      <c r="F168" s="4">
        <f>('Owner Occupier'!$H$24-'Owner Occupier'!$D$52)/('Owner Occupier'!$D$56-'Owner Occupier'!$D$52)*B168</f>
        <v>422.61858587716756</v>
      </c>
      <c r="G168" s="4">
        <f t="shared" si="8"/>
        <v>52926.007870248606</v>
      </c>
    </row>
    <row r="169" spans="1:7" x14ac:dyDescent="0.25">
      <c r="A169">
        <v>166</v>
      </c>
      <c r="B169" s="4">
        <f>-PPMT('Owner Occupier'!$D$41/12,'FHA Amotization'!$A169,360,'Owner Occupier'!$D$40,0,0)</f>
        <v>893.41717546594714</v>
      </c>
      <c r="C169" s="4">
        <f>-IPMT('Owner Occupier'!$D$41/12,'FHA Amotization'!$A169,360,'Owner Occupier'!$D$40,0,0)</f>
        <v>886.74283317844515</v>
      </c>
      <c r="D169" s="4">
        <f t="shared" si="6"/>
        <v>1780.1600086443923</v>
      </c>
      <c r="E169" s="3">
        <f t="shared" si="7"/>
        <v>249481.02983962448</v>
      </c>
      <c r="F169" s="4">
        <f>('Owner Occupier'!$H$24-'Owner Occupier'!$D$52)/('Owner Occupier'!$D$56-'Owner Occupier'!$D$52)*B169</f>
        <v>424.11536003548252</v>
      </c>
      <c r="G169" s="4">
        <f t="shared" si="8"/>
        <v>53350.123230284087</v>
      </c>
    </row>
    <row r="170" spans="1:7" x14ac:dyDescent="0.25">
      <c r="A170">
        <v>167</v>
      </c>
      <c r="B170" s="4">
        <f>-PPMT('Owner Occupier'!$D$41/12,'FHA Amotization'!$A170,360,'Owner Occupier'!$D$40,0,0)</f>
        <v>896.58136129572222</v>
      </c>
      <c r="C170" s="4">
        <f>-IPMT('Owner Occupier'!$D$41/12,'FHA Amotization'!$A170,360,'Owner Occupier'!$D$40,0,0)</f>
        <v>883.57864734866996</v>
      </c>
      <c r="D170" s="4">
        <f t="shared" si="6"/>
        <v>1780.1600086443923</v>
      </c>
      <c r="E170" s="3">
        <f t="shared" si="7"/>
        <v>248584.44847832876</v>
      </c>
      <c r="F170" s="4">
        <f>('Owner Occupier'!$H$24-'Owner Occupier'!$D$52)/('Owner Occupier'!$D$56-'Owner Occupier'!$D$52)*B170</f>
        <v>425.61743526894151</v>
      </c>
      <c r="G170" s="4">
        <f t="shared" si="8"/>
        <v>53775.740665553029</v>
      </c>
    </row>
    <row r="171" spans="1:7" x14ac:dyDescent="0.25">
      <c r="A171">
        <v>168</v>
      </c>
      <c r="B171" s="4">
        <f>-PPMT('Owner Occupier'!$D$41/12,'FHA Amotization'!$A171,360,'Owner Occupier'!$D$40,0,0)</f>
        <v>899.7567536169779</v>
      </c>
      <c r="C171" s="4">
        <f>-IPMT('Owner Occupier'!$D$41/12,'FHA Amotization'!$A171,360,'Owner Occupier'!$D$40,0,0)</f>
        <v>880.40325502741416</v>
      </c>
      <c r="D171" s="4">
        <f t="shared" si="6"/>
        <v>1780.1600086443921</v>
      </c>
      <c r="E171" s="3">
        <f t="shared" si="7"/>
        <v>247684.6917247118</v>
      </c>
      <c r="F171" s="4">
        <f>('Owner Occupier'!$H$24-'Owner Occupier'!$D$52)/('Owner Occupier'!$D$56-'Owner Occupier'!$D$52)*B171</f>
        <v>427.12483035218565</v>
      </c>
      <c r="G171" s="4">
        <f t="shared" si="8"/>
        <v>54202.865495905215</v>
      </c>
    </row>
    <row r="172" spans="1:7" x14ac:dyDescent="0.25">
      <c r="A172">
        <v>169</v>
      </c>
      <c r="B172" s="4">
        <f>-PPMT('Owner Occupier'!$D$41/12,'FHA Amotization'!$A172,360,'Owner Occupier'!$D$40,0,0)</f>
        <v>902.94339211937154</v>
      </c>
      <c r="C172" s="4">
        <f>-IPMT('Owner Occupier'!$D$41/12,'FHA Amotization'!$A172,360,'Owner Occupier'!$D$40,0,0)</f>
        <v>877.21661652502075</v>
      </c>
      <c r="D172" s="4">
        <f t="shared" si="6"/>
        <v>1780.1600086443923</v>
      </c>
      <c r="E172" s="3">
        <f t="shared" si="7"/>
        <v>246781.74833259243</v>
      </c>
      <c r="F172" s="4">
        <f>('Owner Occupier'!$H$24-'Owner Occupier'!$D$52)/('Owner Occupier'!$D$56-'Owner Occupier'!$D$52)*B172</f>
        <v>428.63756412634973</v>
      </c>
      <c r="G172" s="4">
        <f t="shared" si="8"/>
        <v>54631.503060031566</v>
      </c>
    </row>
    <row r="173" spans="1:7" x14ac:dyDescent="0.25">
      <c r="A173">
        <v>170</v>
      </c>
      <c r="B173" s="4">
        <f>-PPMT('Owner Occupier'!$D$41/12,'FHA Amotization'!$A173,360,'Owner Occupier'!$D$40,0,0)</f>
        <v>906.14131663312753</v>
      </c>
      <c r="C173" s="4">
        <f>-IPMT('Owner Occupier'!$D$41/12,'FHA Amotization'!$A173,360,'Owner Occupier'!$D$40,0,0)</f>
        <v>874.01869201126465</v>
      </c>
      <c r="D173" s="4">
        <f t="shared" si="6"/>
        <v>1780.1600086443923</v>
      </c>
      <c r="E173" s="3">
        <f t="shared" si="7"/>
        <v>245875.60701595931</v>
      </c>
      <c r="F173" s="4">
        <f>('Owner Occupier'!$H$24-'Owner Occupier'!$D$52)/('Owner Occupier'!$D$56-'Owner Occupier'!$D$52)*B173</f>
        <v>430.15565549929715</v>
      </c>
      <c r="G173" s="4">
        <f t="shared" si="8"/>
        <v>55061.658715530866</v>
      </c>
    </row>
    <row r="174" spans="1:7" x14ac:dyDescent="0.25">
      <c r="A174">
        <v>171</v>
      </c>
      <c r="B174" s="4">
        <f>-PPMT('Owner Occupier'!$D$41/12,'FHA Amotization'!$A174,360,'Owner Occupier'!$D$40,0,0)</f>
        <v>909.35056712953656</v>
      </c>
      <c r="C174" s="4">
        <f>-IPMT('Owner Occupier'!$D$41/12,'FHA Amotization'!$A174,360,'Owner Occupier'!$D$40,0,0)</f>
        <v>870.80944151485573</v>
      </c>
      <c r="D174" s="4">
        <f t="shared" si="6"/>
        <v>1780.1600086443923</v>
      </c>
      <c r="E174" s="3">
        <f t="shared" si="7"/>
        <v>244966.25644882978</v>
      </c>
      <c r="F174" s="4">
        <f>('Owner Occupier'!$H$24-'Owner Occupier'!$D$52)/('Owner Occupier'!$D$56-'Owner Occupier'!$D$52)*B174</f>
        <v>431.67912344585716</v>
      </c>
      <c r="G174" s="4">
        <f t="shared" si="8"/>
        <v>55493.337838976724</v>
      </c>
    </row>
    <row r="175" spans="1:7" x14ac:dyDescent="0.25">
      <c r="A175">
        <v>172</v>
      </c>
      <c r="B175" s="4">
        <f>-PPMT('Owner Occupier'!$D$41/12,'FHA Amotization'!$A175,360,'Owner Occupier'!$D$40,0,0)</f>
        <v>912.57118372145374</v>
      </c>
      <c r="C175" s="4">
        <f>-IPMT('Owner Occupier'!$D$41/12,'FHA Amotization'!$A175,360,'Owner Occupier'!$D$40,0,0)</f>
        <v>867.58882492293856</v>
      </c>
      <c r="D175" s="4">
        <f t="shared" si="6"/>
        <v>1780.1600086443923</v>
      </c>
      <c r="E175" s="3">
        <f t="shared" si="7"/>
        <v>244053.68526510833</v>
      </c>
      <c r="F175" s="4">
        <f>('Owner Occupier'!$H$24-'Owner Occupier'!$D$52)/('Owner Occupier'!$D$56-'Owner Occupier'!$D$52)*B175</f>
        <v>433.20798700806131</v>
      </c>
      <c r="G175" s="4">
        <f t="shared" si="8"/>
        <v>55926.545825984787</v>
      </c>
    </row>
    <row r="176" spans="1:7" x14ac:dyDescent="0.25">
      <c r="A176">
        <v>173</v>
      </c>
      <c r="B176" s="4">
        <f>-PPMT('Owner Occupier'!$D$41/12,'FHA Amotization'!$A176,360,'Owner Occupier'!$D$40,0,0)</f>
        <v>915.80320666380044</v>
      </c>
      <c r="C176" s="4">
        <f>-IPMT('Owner Occupier'!$D$41/12,'FHA Amotization'!$A176,360,'Owner Occupier'!$D$40,0,0)</f>
        <v>864.35680198059174</v>
      </c>
      <c r="D176" s="4">
        <f t="shared" si="6"/>
        <v>1780.1600086443923</v>
      </c>
      <c r="E176" s="3">
        <f t="shared" si="7"/>
        <v>243137.88205844452</v>
      </c>
      <c r="F176" s="4">
        <f>('Owner Occupier'!$H$24-'Owner Occupier'!$D$52)/('Owner Occupier'!$D$56-'Owner Occupier'!$D$52)*B176</f>
        <v>434.74226529538146</v>
      </c>
      <c r="G176" s="4">
        <f t="shared" si="8"/>
        <v>56361.28809128017</v>
      </c>
    </row>
    <row r="177" spans="1:7" x14ac:dyDescent="0.25">
      <c r="A177">
        <v>174</v>
      </c>
      <c r="B177" s="4">
        <f>-PPMT('Owner Occupier'!$D$41/12,'FHA Amotization'!$A177,360,'Owner Occupier'!$D$40,0,0)</f>
        <v>919.04667635406815</v>
      </c>
      <c r="C177" s="4">
        <f>-IPMT('Owner Occupier'!$D$41/12,'FHA Amotization'!$A177,360,'Owner Occupier'!$D$40,0,0)</f>
        <v>861.11333229032414</v>
      </c>
      <c r="D177" s="4">
        <f t="shared" si="6"/>
        <v>1780.1600086443923</v>
      </c>
      <c r="E177" s="3">
        <f t="shared" si="7"/>
        <v>242218.83538209044</v>
      </c>
      <c r="F177" s="4">
        <f>('Owner Occupier'!$H$24-'Owner Occupier'!$D$52)/('Owner Occupier'!$D$56-'Owner Occupier'!$D$52)*B177</f>
        <v>436.28197748496933</v>
      </c>
      <c r="G177" s="4">
        <f t="shared" si="8"/>
        <v>56797.570068765141</v>
      </c>
    </row>
    <row r="178" spans="1:7" x14ac:dyDescent="0.25">
      <c r="A178">
        <v>175</v>
      </c>
      <c r="B178" s="4">
        <f>-PPMT('Owner Occupier'!$D$41/12,'FHA Amotization'!$A178,360,'Owner Occupier'!$D$40,0,0)</f>
        <v>922.30163333282212</v>
      </c>
      <c r="C178" s="4">
        <f>-IPMT('Owner Occupier'!$D$41/12,'FHA Amotization'!$A178,360,'Owner Occupier'!$D$40,0,0)</f>
        <v>857.85837531157028</v>
      </c>
      <c r="D178" s="4">
        <f t="shared" si="6"/>
        <v>1780.1600086443923</v>
      </c>
      <c r="E178" s="3">
        <f t="shared" si="7"/>
        <v>241296.53374875762</v>
      </c>
      <c r="F178" s="4">
        <f>('Owner Occupier'!$H$24-'Owner Occupier'!$D$52)/('Owner Occupier'!$D$56-'Owner Occupier'!$D$52)*B178</f>
        <v>437.82714282189522</v>
      </c>
      <c r="G178" s="4">
        <f t="shared" si="8"/>
        <v>57235.397211587035</v>
      </c>
    </row>
    <row r="179" spans="1:7" x14ac:dyDescent="0.25">
      <c r="A179">
        <v>176</v>
      </c>
      <c r="B179" s="4">
        <f>-PPMT('Owner Occupier'!$D$41/12,'FHA Amotization'!$A179,360,'Owner Occupier'!$D$40,0,0)</f>
        <v>925.56811828420916</v>
      </c>
      <c r="C179" s="4">
        <f>-IPMT('Owner Occupier'!$D$41/12,'FHA Amotization'!$A179,360,'Owner Occupier'!$D$40,0,0)</f>
        <v>854.59189036018313</v>
      </c>
      <c r="D179" s="4">
        <f t="shared" si="6"/>
        <v>1780.1600086443923</v>
      </c>
      <c r="E179" s="3">
        <f t="shared" si="7"/>
        <v>240370.96563047339</v>
      </c>
      <c r="F179" s="4">
        <f>('Owner Occupier'!$H$24-'Owner Occupier'!$D$52)/('Owner Occupier'!$D$56-'Owner Occupier'!$D$52)*B179</f>
        <v>439.3777806193894</v>
      </c>
      <c r="G179" s="4">
        <f t="shared" si="8"/>
        <v>57674.774992206425</v>
      </c>
    </row>
    <row r="180" spans="1:7" x14ac:dyDescent="0.25">
      <c r="A180">
        <v>177</v>
      </c>
      <c r="B180" s="4">
        <f>-PPMT('Owner Occupier'!$D$41/12,'FHA Amotization'!$A180,360,'Owner Occupier'!$D$40,0,0)</f>
        <v>928.84617203646553</v>
      </c>
      <c r="C180" s="4">
        <f>-IPMT('Owner Occupier'!$D$41/12,'FHA Amotization'!$A180,360,'Owner Occupier'!$D$40,0,0)</f>
        <v>851.31383660792642</v>
      </c>
      <c r="D180" s="4">
        <f t="shared" si="6"/>
        <v>1780.1600086443918</v>
      </c>
      <c r="E180" s="3">
        <f t="shared" si="7"/>
        <v>239442.11945843694</v>
      </c>
      <c r="F180" s="4">
        <f>('Owner Occupier'!$H$24-'Owner Occupier'!$D$52)/('Owner Occupier'!$D$56-'Owner Occupier'!$D$52)*B180</f>
        <v>440.93391025908301</v>
      </c>
      <c r="G180" s="4">
        <f t="shared" si="8"/>
        <v>58115.708902465507</v>
      </c>
    </row>
    <row r="181" spans="1:7" x14ac:dyDescent="0.25">
      <c r="A181">
        <v>178</v>
      </c>
      <c r="B181" s="4">
        <f>-PPMT('Owner Occupier'!$D$41/12,'FHA Amotization'!$A181,360,'Owner Occupier'!$D$40,0,0)</f>
        <v>932.13583556242816</v>
      </c>
      <c r="C181" s="4">
        <f>-IPMT('Owner Occupier'!$D$41/12,'FHA Amotization'!$A181,360,'Owner Occupier'!$D$40,0,0)</f>
        <v>848.02417308196402</v>
      </c>
      <c r="D181" s="4">
        <f t="shared" si="6"/>
        <v>1780.1600086443923</v>
      </c>
      <c r="E181" s="3">
        <f t="shared" si="7"/>
        <v>238509.98362287451</v>
      </c>
      <c r="F181" s="4">
        <f>('Owner Occupier'!$H$24-'Owner Occupier'!$D$52)/('Owner Occupier'!$D$56-'Owner Occupier'!$D$52)*B181</f>
        <v>442.49555119125063</v>
      </c>
      <c r="G181" s="4">
        <f t="shared" si="8"/>
        <v>58558.204453656756</v>
      </c>
    </row>
    <row r="182" spans="1:7" x14ac:dyDescent="0.25">
      <c r="A182">
        <v>179</v>
      </c>
      <c r="B182" s="4">
        <f>-PPMT('Owner Occupier'!$D$41/12,'FHA Amotization'!$A182,360,'Owner Occupier'!$D$40,0,0)</f>
        <v>935.43714998004521</v>
      </c>
      <c r="C182" s="4">
        <f>-IPMT('Owner Occupier'!$D$41/12,'FHA Amotization'!$A182,360,'Owner Occupier'!$D$40,0,0)</f>
        <v>844.72285866434697</v>
      </c>
      <c r="D182" s="4">
        <f t="shared" si="6"/>
        <v>1780.1600086443923</v>
      </c>
      <c r="E182" s="3">
        <f t="shared" si="7"/>
        <v>237574.54647289446</v>
      </c>
      <c r="F182" s="4">
        <f>('Owner Occupier'!$H$24-'Owner Occupier'!$D$52)/('Owner Occupier'!$D$56-'Owner Occupier'!$D$52)*B182</f>
        <v>444.06272293505305</v>
      </c>
      <c r="G182" s="4">
        <f t="shared" si="8"/>
        <v>59002.267176591806</v>
      </c>
    </row>
    <row r="183" spans="1:7" x14ac:dyDescent="0.25">
      <c r="A183">
        <v>180</v>
      </c>
      <c r="B183" s="4">
        <f>-PPMT('Owner Occupier'!$D$41/12,'FHA Amotization'!$A183,360,'Owner Occupier'!$D$40,0,0)</f>
        <v>938.7501565528911</v>
      </c>
      <c r="C183" s="4">
        <f>-IPMT('Owner Occupier'!$D$41/12,'FHA Amotization'!$A183,360,'Owner Occupier'!$D$40,0,0)</f>
        <v>841.40985209150119</v>
      </c>
      <c r="D183" s="4">
        <f t="shared" si="6"/>
        <v>1780.1600086443923</v>
      </c>
      <c r="E183" s="3">
        <f t="shared" si="7"/>
        <v>236635.79631634158</v>
      </c>
      <c r="F183" s="4">
        <f>('Owner Occupier'!$H$24-'Owner Occupier'!$D$52)/('Owner Occupier'!$D$56-'Owner Occupier'!$D$52)*B183</f>
        <v>445.63544507878134</v>
      </c>
      <c r="G183" s="4">
        <f t="shared" si="8"/>
        <v>59447.90262167059</v>
      </c>
    </row>
    <row r="184" spans="1:7" x14ac:dyDescent="0.25">
      <c r="A184">
        <v>181</v>
      </c>
      <c r="B184" s="4">
        <f>-PPMT('Owner Occupier'!$D$41/12,'FHA Amotization'!$A184,360,'Owner Occupier'!$D$40,0,0)</f>
        <v>942.07489669068275</v>
      </c>
      <c r="C184" s="4">
        <f>-IPMT('Owner Occupier'!$D$41/12,'FHA Amotization'!$A184,360,'Owner Occupier'!$D$40,0,0)</f>
        <v>838.08511195370977</v>
      </c>
      <c r="D184" s="4">
        <f t="shared" si="6"/>
        <v>1780.1600086443925</v>
      </c>
      <c r="E184" s="3">
        <f t="shared" si="7"/>
        <v>235693.72141965092</v>
      </c>
      <c r="F184" s="4">
        <f>('Owner Occupier'!$H$24-'Owner Occupier'!$D$52)/('Owner Occupier'!$D$56-'Owner Occupier'!$D$52)*B184</f>
        <v>447.21373728010207</v>
      </c>
      <c r="G184" s="4">
        <f t="shared" si="8"/>
        <v>59895.11635895069</v>
      </c>
    </row>
    <row r="185" spans="1:7" x14ac:dyDescent="0.25">
      <c r="A185">
        <v>182</v>
      </c>
      <c r="B185" s="4">
        <f>-PPMT('Owner Occupier'!$D$41/12,'FHA Amotization'!$A185,360,'Owner Occupier'!$D$40,0,0)</f>
        <v>945.41141194979525</v>
      </c>
      <c r="C185" s="4">
        <f>-IPMT('Owner Occupier'!$D$41/12,'FHA Amotization'!$A185,360,'Owner Occupier'!$D$40,0,0)</f>
        <v>834.74859669459659</v>
      </c>
      <c r="D185" s="4">
        <f t="shared" si="6"/>
        <v>1780.1600086443918</v>
      </c>
      <c r="E185" s="3">
        <f t="shared" si="7"/>
        <v>234748.31000770113</v>
      </c>
      <c r="F185" s="4">
        <f>('Owner Occupier'!$H$24-'Owner Occupier'!$D$52)/('Owner Occupier'!$D$56-'Owner Occupier'!$D$52)*B185</f>
        <v>448.79761926630226</v>
      </c>
      <c r="G185" s="4">
        <f t="shared" si="8"/>
        <v>60343.913978216995</v>
      </c>
    </row>
    <row r="186" spans="1:7" x14ac:dyDescent="0.25">
      <c r="A186">
        <v>183</v>
      </c>
      <c r="B186" s="4">
        <f>-PPMT('Owner Occupier'!$D$41/12,'FHA Amotization'!$A186,360,'Owner Occupier'!$D$40,0,0)</f>
        <v>948.75974403378427</v>
      </c>
      <c r="C186" s="4">
        <f>-IPMT('Owner Occupier'!$D$41/12,'FHA Amotization'!$A186,360,'Owner Occupier'!$D$40,0,0)</f>
        <v>831.40026461060791</v>
      </c>
      <c r="D186" s="4">
        <f t="shared" si="6"/>
        <v>1780.1600086443923</v>
      </c>
      <c r="E186" s="3">
        <f t="shared" si="7"/>
        <v>233799.55026366736</v>
      </c>
      <c r="F186" s="4">
        <f>('Owner Occupier'!$H$24-'Owner Occupier'!$D$52)/('Owner Occupier'!$D$56-'Owner Occupier'!$D$52)*B186</f>
        <v>450.38711083453717</v>
      </c>
      <c r="G186" s="4">
        <f t="shared" si="8"/>
        <v>60794.301089051529</v>
      </c>
    </row>
    <row r="187" spans="1:7" x14ac:dyDescent="0.25">
      <c r="A187">
        <v>184</v>
      </c>
      <c r="B187" s="4">
        <f>-PPMT('Owner Occupier'!$D$41/12,'FHA Amotization'!$A187,360,'Owner Occupier'!$D$40,0,0)</f>
        <v>952.11993479390401</v>
      </c>
      <c r="C187" s="4">
        <f>-IPMT('Owner Occupier'!$D$41/12,'FHA Amotization'!$A187,360,'Owner Occupier'!$D$40,0,0)</f>
        <v>828.04007385048817</v>
      </c>
      <c r="D187" s="4">
        <f t="shared" si="6"/>
        <v>1780.1600086443923</v>
      </c>
      <c r="E187" s="3">
        <f t="shared" si="7"/>
        <v>232847.43032887345</v>
      </c>
      <c r="F187" s="4">
        <f>('Owner Occupier'!$H$24-'Owner Occupier'!$D$52)/('Owner Occupier'!$D$56-'Owner Occupier'!$D$52)*B187</f>
        <v>451.98223185207621</v>
      </c>
      <c r="G187" s="4">
        <f t="shared" si="8"/>
        <v>61246.283320903603</v>
      </c>
    </row>
    <row r="188" spans="1:7" x14ac:dyDescent="0.25">
      <c r="A188">
        <v>185</v>
      </c>
      <c r="B188" s="4">
        <f>-PPMT('Owner Occupier'!$D$41/12,'FHA Amotization'!$A188,360,'Owner Occupier'!$D$40,0,0)</f>
        <v>955.49202622963242</v>
      </c>
      <c r="C188" s="4">
        <f>-IPMT('Owner Occupier'!$D$41/12,'FHA Amotization'!$A188,360,'Owner Occupier'!$D$40,0,0)</f>
        <v>824.66798241475988</v>
      </c>
      <c r="D188" s="4">
        <f t="shared" si="6"/>
        <v>1780.1600086443923</v>
      </c>
      <c r="E188" s="3">
        <f t="shared" si="7"/>
        <v>231891.93830264383</v>
      </c>
      <c r="F188" s="4">
        <f>('Owner Occupier'!$H$24-'Owner Occupier'!$D$52)/('Owner Occupier'!$D$56-'Owner Occupier'!$D$52)*B188</f>
        <v>453.58300225655233</v>
      </c>
      <c r="G188" s="4">
        <f t="shared" si="8"/>
        <v>61699.866323160153</v>
      </c>
    </row>
    <row r="189" spans="1:7" x14ac:dyDescent="0.25">
      <c r="A189">
        <v>186</v>
      </c>
      <c r="B189" s="4">
        <f>-PPMT('Owner Occupier'!$D$41/12,'FHA Amotization'!$A189,360,'Owner Occupier'!$D$40,0,0)</f>
        <v>958.87606048919565</v>
      </c>
      <c r="C189" s="4">
        <f>-IPMT('Owner Occupier'!$D$41/12,'FHA Amotization'!$A189,360,'Owner Occupier'!$D$40,0,0)</f>
        <v>821.28394815519675</v>
      </c>
      <c r="D189" s="4">
        <f t="shared" si="6"/>
        <v>1780.1600086443923</v>
      </c>
      <c r="E189" s="3">
        <f t="shared" si="7"/>
        <v>230933.06224215464</v>
      </c>
      <c r="F189" s="4">
        <f>('Owner Occupier'!$H$24-'Owner Occupier'!$D$52)/('Owner Occupier'!$D$56-'Owner Occupier'!$D$52)*B189</f>
        <v>455.18944205621091</v>
      </c>
      <c r="G189" s="4">
        <f t="shared" si="8"/>
        <v>62155.055765216362</v>
      </c>
    </row>
    <row r="190" spans="1:7" x14ac:dyDescent="0.25">
      <c r="A190">
        <v>187</v>
      </c>
      <c r="B190" s="4">
        <f>-PPMT('Owner Occupier'!$D$41/12,'FHA Amotization'!$A190,360,'Owner Occupier'!$D$40,0,0)</f>
        <v>962.27207987009501</v>
      </c>
      <c r="C190" s="4">
        <f>-IPMT('Owner Occupier'!$D$41/12,'FHA Amotization'!$A190,360,'Owner Occupier'!$D$40,0,0)</f>
        <v>817.88792877429728</v>
      </c>
      <c r="D190" s="4">
        <f t="shared" si="6"/>
        <v>1780.1600086443923</v>
      </c>
      <c r="E190" s="3">
        <f t="shared" si="7"/>
        <v>229970.79016228454</v>
      </c>
      <c r="F190" s="4">
        <f>('Owner Occupier'!$H$24-'Owner Occupier'!$D$52)/('Owner Occupier'!$D$56-'Owner Occupier'!$D$52)*B190</f>
        <v>456.80157133016007</v>
      </c>
      <c r="G190" s="4">
        <f t="shared" si="8"/>
        <v>62611.85733654652</v>
      </c>
    </row>
    <row r="191" spans="1:7" x14ac:dyDescent="0.25">
      <c r="A191">
        <v>188</v>
      </c>
      <c r="B191" s="4">
        <f>-PPMT('Owner Occupier'!$D$41/12,'FHA Amotization'!$A191,360,'Owner Occupier'!$D$40,0,0)</f>
        <v>965.68012681963478</v>
      </c>
      <c r="C191" s="4">
        <f>-IPMT('Owner Occupier'!$D$41/12,'FHA Amotization'!$A191,360,'Owner Occupier'!$D$40,0,0)</f>
        <v>814.47988182475751</v>
      </c>
      <c r="D191" s="4">
        <f t="shared" si="6"/>
        <v>1780.1600086443923</v>
      </c>
      <c r="E191" s="3">
        <f t="shared" si="7"/>
        <v>229005.1100354649</v>
      </c>
      <c r="F191" s="4">
        <f>('Owner Occupier'!$H$24-'Owner Occupier'!$D$52)/('Owner Occupier'!$D$56-'Owner Occupier'!$D$52)*B191</f>
        <v>458.41941022862096</v>
      </c>
      <c r="G191" s="4">
        <f t="shared" si="8"/>
        <v>63070.27674677514</v>
      </c>
    </row>
    <row r="192" spans="1:7" x14ac:dyDescent="0.25">
      <c r="A192">
        <v>189</v>
      </c>
      <c r="B192" s="4">
        <f>-PPMT('Owner Occupier'!$D$41/12,'FHA Amotization'!$A192,360,'Owner Occupier'!$D$40,0,0)</f>
        <v>969.10024393545427</v>
      </c>
      <c r="C192" s="4">
        <f>-IPMT('Owner Occupier'!$D$41/12,'FHA Amotization'!$A192,360,'Owner Occupier'!$D$40,0,0)</f>
        <v>811.05976470893779</v>
      </c>
      <c r="D192" s="4">
        <f t="shared" si="6"/>
        <v>1780.1600086443921</v>
      </c>
      <c r="E192" s="3">
        <f t="shared" si="7"/>
        <v>228036.00979152945</v>
      </c>
      <c r="F192" s="4">
        <f>('Owner Occupier'!$H$24-'Owner Occupier'!$D$52)/('Owner Occupier'!$D$56-'Owner Occupier'!$D$52)*B192</f>
        <v>460.04297897318065</v>
      </c>
      <c r="G192" s="4">
        <f t="shared" si="8"/>
        <v>63530.319725748319</v>
      </c>
    </row>
    <row r="193" spans="1:7" x14ac:dyDescent="0.25">
      <c r="A193">
        <v>190</v>
      </c>
      <c r="B193" s="4">
        <f>-PPMT('Owner Occupier'!$D$41/12,'FHA Amotization'!$A193,360,'Owner Occupier'!$D$40,0,0)</f>
        <v>972.53247396605911</v>
      </c>
      <c r="C193" s="4">
        <f>-IPMT('Owner Occupier'!$D$41/12,'FHA Amotization'!$A193,360,'Owner Occupier'!$D$40,0,0)</f>
        <v>807.62753467833318</v>
      </c>
      <c r="D193" s="4">
        <f t="shared" si="6"/>
        <v>1780.1600086443923</v>
      </c>
      <c r="E193" s="3">
        <f t="shared" si="7"/>
        <v>227063.47731756337</v>
      </c>
      <c r="F193" s="4">
        <f>('Owner Occupier'!$H$24-'Owner Occupier'!$D$52)/('Owner Occupier'!$D$56-'Owner Occupier'!$D$52)*B193</f>
        <v>461.67229785704404</v>
      </c>
      <c r="G193" s="4">
        <f t="shared" si="8"/>
        <v>63991.992023605366</v>
      </c>
    </row>
    <row r="194" spans="1:7" x14ac:dyDescent="0.25">
      <c r="A194">
        <v>191</v>
      </c>
      <c r="B194" s="4">
        <f>-PPMT('Owner Occupier'!$D$41/12,'FHA Amotization'!$A194,360,'Owner Occupier'!$D$40,0,0)</f>
        <v>975.97685981135567</v>
      </c>
      <c r="C194" s="4">
        <f>-IPMT('Owner Occupier'!$D$41/12,'FHA Amotization'!$A194,360,'Owner Occupier'!$D$40,0,0)</f>
        <v>804.18314883303674</v>
      </c>
      <c r="D194" s="4">
        <f t="shared" si="6"/>
        <v>1780.1600086443923</v>
      </c>
      <c r="E194" s="3">
        <f t="shared" si="7"/>
        <v>226087.50045775203</v>
      </c>
      <c r="F194" s="4">
        <f>('Owner Occupier'!$H$24-'Owner Occupier'!$D$52)/('Owner Occupier'!$D$56-'Owner Occupier'!$D$52)*B194</f>
        <v>463.30738724528777</v>
      </c>
      <c r="G194" s="4">
        <f t="shared" si="8"/>
        <v>64455.299410850654</v>
      </c>
    </row>
    <row r="195" spans="1:7" x14ac:dyDescent="0.25">
      <c r="A195">
        <v>192</v>
      </c>
      <c r="B195" s="4">
        <f>-PPMT('Owner Occupier'!$D$41/12,'FHA Amotization'!$A195,360,'Owner Occupier'!$D$40,0,0)</f>
        <v>979.43344452318752</v>
      </c>
      <c r="C195" s="4">
        <f>-IPMT('Owner Occupier'!$D$41/12,'FHA Amotization'!$A195,360,'Owner Occupier'!$D$40,0,0)</f>
        <v>800.72656412120489</v>
      </c>
      <c r="D195" s="4">
        <f t="shared" si="6"/>
        <v>1780.1600086443923</v>
      </c>
      <c r="E195" s="3">
        <f t="shared" si="7"/>
        <v>225108.06701322884</v>
      </c>
      <c r="F195" s="4">
        <f>('Owner Occupier'!$H$24-'Owner Occupier'!$D$52)/('Owner Occupier'!$D$56-'Owner Occupier'!$D$52)*B195</f>
        <v>464.94826757511481</v>
      </c>
      <c r="G195" s="4">
        <f t="shared" si="8"/>
        <v>64920.247678425767</v>
      </c>
    </row>
    <row r="196" spans="1:7" x14ac:dyDescent="0.25">
      <c r="A196">
        <v>193</v>
      </c>
      <c r="B196" s="4">
        <f>-PPMT('Owner Occupier'!$D$41/12,'FHA Amotization'!$A196,360,'Owner Occupier'!$D$40,0,0)</f>
        <v>982.90227130587357</v>
      </c>
      <c r="C196" s="4">
        <f>-IPMT('Owner Occupier'!$D$41/12,'FHA Amotization'!$A196,360,'Owner Occupier'!$D$40,0,0)</f>
        <v>797.25773733851838</v>
      </c>
      <c r="D196" s="4">
        <f t="shared" si="6"/>
        <v>1780.1600086443918</v>
      </c>
      <c r="E196" s="3">
        <f t="shared" si="7"/>
        <v>224125.16474192296</v>
      </c>
      <c r="F196" s="4">
        <f>('Owner Occupier'!$H$24-'Owner Occupier'!$D$52)/('Owner Occupier'!$D$56-'Owner Occupier'!$D$52)*B196</f>
        <v>466.59495935610988</v>
      </c>
      <c r="G196" s="4">
        <f t="shared" si="8"/>
        <v>65386.842637781876</v>
      </c>
    </row>
    <row r="197" spans="1:7" x14ac:dyDescent="0.25">
      <c r="A197">
        <v>194</v>
      </c>
      <c r="B197" s="4">
        <f>-PPMT('Owner Occupier'!$D$41/12,'FHA Amotization'!$A197,360,'Owner Occupier'!$D$40,0,0)</f>
        <v>986.38338351674872</v>
      </c>
      <c r="C197" s="4">
        <f>-IPMT('Owner Occupier'!$D$41/12,'FHA Amotization'!$A197,360,'Owner Occupier'!$D$40,0,0)</f>
        <v>793.77662512764368</v>
      </c>
      <c r="D197" s="4">
        <f t="shared" ref="D197:D260" si="9">B197+C197</f>
        <v>1780.1600086443923</v>
      </c>
      <c r="E197" s="3">
        <f t="shared" si="7"/>
        <v>223138.78135840621</v>
      </c>
      <c r="F197" s="4">
        <f>('Owner Occupier'!$H$24-'Owner Occupier'!$D$52)/('Owner Occupier'!$D$56-'Owner Occupier'!$D$52)*B197</f>
        <v>468.2474831704962</v>
      </c>
      <c r="G197" s="4">
        <f t="shared" si="8"/>
        <v>65855.090120952373</v>
      </c>
    </row>
    <row r="198" spans="1:7" x14ac:dyDescent="0.25">
      <c r="A198">
        <v>195</v>
      </c>
      <c r="B198" s="4">
        <f>-PPMT('Owner Occupier'!$D$41/12,'FHA Amotization'!$A198,360,'Owner Occupier'!$D$40,0,0)</f>
        <v>989.87682466670378</v>
      </c>
      <c r="C198" s="4">
        <f>-IPMT('Owner Occupier'!$D$41/12,'FHA Amotization'!$A198,360,'Owner Occupier'!$D$40,0,0)</f>
        <v>790.28318397768828</v>
      </c>
      <c r="D198" s="4">
        <f t="shared" si="9"/>
        <v>1780.1600086443921</v>
      </c>
      <c r="E198" s="3">
        <f t="shared" ref="E198:E261" si="10">E197-B198</f>
        <v>222148.90453373949</v>
      </c>
      <c r="F198" s="4">
        <f>('Owner Occupier'!$H$24-'Owner Occupier'!$D$52)/('Owner Occupier'!$D$56-'Owner Occupier'!$D$52)*B198</f>
        <v>469.90585967339166</v>
      </c>
      <c r="G198" s="4">
        <f t="shared" ref="G198:G261" si="11">F198+G197</f>
        <v>66324.995980625768</v>
      </c>
    </row>
    <row r="199" spans="1:7" x14ac:dyDescent="0.25">
      <c r="A199">
        <v>196</v>
      </c>
      <c r="B199" s="4">
        <f>-PPMT('Owner Occupier'!$D$41/12,'FHA Amotization'!$A199,360,'Owner Occupier'!$D$40,0,0)</f>
        <v>993.38263842073184</v>
      </c>
      <c r="C199" s="4">
        <f>-IPMT('Owner Occupier'!$D$41/12,'FHA Amotization'!$A199,360,'Owner Occupier'!$D$40,0,0)</f>
        <v>786.77737022366057</v>
      </c>
      <c r="D199" s="4">
        <f t="shared" si="9"/>
        <v>1780.1600086443923</v>
      </c>
      <c r="E199" s="3">
        <f t="shared" si="10"/>
        <v>221155.52189531876</v>
      </c>
      <c r="F199" s="4">
        <f>('Owner Occupier'!$H$24-'Owner Occupier'!$D$52)/('Owner Occupier'!$D$56-'Owner Occupier'!$D$52)*B199</f>
        <v>471.57010959306837</v>
      </c>
      <c r="G199" s="4">
        <f t="shared" si="11"/>
        <v>66796.566090218839</v>
      </c>
    </row>
    <row r="200" spans="1:7" x14ac:dyDescent="0.25">
      <c r="A200">
        <v>197</v>
      </c>
      <c r="B200" s="4">
        <f>-PPMT('Owner Occupier'!$D$41/12,'FHA Amotization'!$A200,360,'Owner Occupier'!$D$40,0,0)</f>
        <v>996.90086859847179</v>
      </c>
      <c r="C200" s="4">
        <f>-IPMT('Owner Occupier'!$D$41/12,'FHA Amotization'!$A200,360,'Owner Occupier'!$D$40,0,0)</f>
        <v>783.2591400459205</v>
      </c>
      <c r="D200" s="4">
        <f t="shared" si="9"/>
        <v>1780.1600086443923</v>
      </c>
      <c r="E200" s="3">
        <f t="shared" si="10"/>
        <v>220158.6210267203</v>
      </c>
      <c r="F200" s="4">
        <f>('Owner Occupier'!$H$24-'Owner Occupier'!$D$52)/('Owner Occupier'!$D$56-'Owner Occupier'!$D$52)*B200</f>
        <v>473.24025373121037</v>
      </c>
      <c r="G200" s="4">
        <f t="shared" si="11"/>
        <v>67269.806343950055</v>
      </c>
    </row>
    <row r="201" spans="1:7" x14ac:dyDescent="0.25">
      <c r="A201">
        <v>198</v>
      </c>
      <c r="B201" s="4">
        <f>-PPMT('Owner Occupier'!$D$41/12,'FHA Amotization'!$A201,360,'Owner Occupier'!$D$40,0,0)</f>
        <v>1000.4315591747581</v>
      </c>
      <c r="C201" s="4">
        <f>-IPMT('Owner Occupier'!$D$41/12,'FHA Amotization'!$A201,360,'Owner Occupier'!$D$40,0,0)</f>
        <v>779.72844946963426</v>
      </c>
      <c r="D201" s="4">
        <f t="shared" si="9"/>
        <v>1780.1600086443923</v>
      </c>
      <c r="E201" s="3">
        <f t="shared" si="10"/>
        <v>219158.18946754554</v>
      </c>
      <c r="F201" s="4">
        <f>('Owner Occupier'!$H$24-'Owner Occupier'!$D$52)/('Owner Occupier'!$D$56-'Owner Occupier'!$D$52)*B201</f>
        <v>474.91631296317513</v>
      </c>
      <c r="G201" s="4">
        <f t="shared" si="11"/>
        <v>67744.722656913233</v>
      </c>
    </row>
    <row r="202" spans="1:7" x14ac:dyDescent="0.25">
      <c r="A202">
        <v>199</v>
      </c>
      <c r="B202" s="4">
        <f>-PPMT('Owner Occupier'!$D$41/12,'FHA Amotization'!$A202,360,'Owner Occupier'!$D$40,0,0)</f>
        <v>1003.9747542801686</v>
      </c>
      <c r="C202" s="4">
        <f>-IPMT('Owner Occupier'!$D$41/12,'FHA Amotization'!$A202,360,'Owner Occupier'!$D$40,0,0)</f>
        <v>776.1852543642234</v>
      </c>
      <c r="D202" s="4">
        <f t="shared" si="9"/>
        <v>1780.1600086443918</v>
      </c>
      <c r="E202" s="3">
        <f t="shared" si="10"/>
        <v>218154.21471326536</v>
      </c>
      <c r="F202" s="4">
        <f>('Owner Occupier'!$H$24-'Owner Occupier'!$D$52)/('Owner Occupier'!$D$56-'Owner Occupier'!$D$52)*B202</f>
        <v>476.59830823825297</v>
      </c>
      <c r="G202" s="4">
        <f t="shared" si="11"/>
        <v>68221.320965151492</v>
      </c>
    </row>
    <row r="203" spans="1:7" x14ac:dyDescent="0.25">
      <c r="A203">
        <v>200</v>
      </c>
      <c r="B203" s="4">
        <f>-PPMT('Owner Occupier'!$D$41/12,'FHA Amotization'!$A203,360,'Owner Occupier'!$D$40,0,0)</f>
        <v>1007.5304982015775</v>
      </c>
      <c r="C203" s="4">
        <f>-IPMT('Owner Occupier'!$D$41/12,'FHA Amotization'!$A203,360,'Owner Occupier'!$D$40,0,0)</f>
        <v>772.62951044281465</v>
      </c>
      <c r="D203" s="4">
        <f t="shared" si="9"/>
        <v>1780.1600086443923</v>
      </c>
      <c r="E203" s="3">
        <f t="shared" si="10"/>
        <v>217146.68421506378</v>
      </c>
      <c r="F203" s="4">
        <f>('Owner Occupier'!$H$24-'Owner Occupier'!$D$52)/('Owner Occupier'!$D$56-'Owner Occupier'!$D$52)*B203</f>
        <v>478.28626057993012</v>
      </c>
      <c r="G203" s="4">
        <f t="shared" si="11"/>
        <v>68699.607225731423</v>
      </c>
    </row>
    <row r="204" spans="1:7" x14ac:dyDescent="0.25">
      <c r="A204">
        <v>201</v>
      </c>
      <c r="B204" s="4">
        <f>-PPMT('Owner Occupier'!$D$41/12,'FHA Amotization'!$A204,360,'Owner Occupier'!$D$40,0,0)</f>
        <v>1011.0988353827082</v>
      </c>
      <c r="C204" s="4">
        <f>-IPMT('Owner Occupier'!$D$41/12,'FHA Amotization'!$A204,360,'Owner Occupier'!$D$40,0,0)</f>
        <v>769.06117326168419</v>
      </c>
      <c r="D204" s="4">
        <f t="shared" si="9"/>
        <v>1780.1600086443923</v>
      </c>
      <c r="E204" s="3">
        <f t="shared" si="10"/>
        <v>216135.58537968108</v>
      </c>
      <c r="F204" s="4">
        <f>('Owner Occupier'!$H$24-'Owner Occupier'!$D$52)/('Owner Occupier'!$D$56-'Owner Occupier'!$D$52)*B204</f>
        <v>479.9801910861508</v>
      </c>
      <c r="G204" s="4">
        <f t="shared" si="11"/>
        <v>69179.58741681758</v>
      </c>
    </row>
    <row r="205" spans="1:7" x14ac:dyDescent="0.25">
      <c r="A205">
        <v>202</v>
      </c>
      <c r="B205" s="4">
        <f>-PPMT('Owner Occupier'!$D$41/12,'FHA Amotization'!$A205,360,'Owner Occupier'!$D$40,0,0)</f>
        <v>1014.6798104246885</v>
      </c>
      <c r="C205" s="4">
        <f>-IPMT('Owner Occupier'!$D$41/12,'FHA Amotization'!$A205,360,'Owner Occupier'!$D$40,0,0)</f>
        <v>765.48019821970354</v>
      </c>
      <c r="D205" s="4">
        <f t="shared" si="9"/>
        <v>1780.1600086443921</v>
      </c>
      <c r="E205" s="3">
        <f t="shared" si="10"/>
        <v>215120.9055692564</v>
      </c>
      <c r="F205" s="4">
        <f>('Owner Occupier'!$H$24-'Owner Occupier'!$D$52)/('Owner Occupier'!$D$56-'Owner Occupier'!$D$52)*B205</f>
        <v>481.68012092958082</v>
      </c>
      <c r="G205" s="4">
        <f t="shared" si="11"/>
        <v>69661.267537747161</v>
      </c>
    </row>
    <row r="206" spans="1:7" x14ac:dyDescent="0.25">
      <c r="A206">
        <v>203</v>
      </c>
      <c r="B206" s="4">
        <f>-PPMT('Owner Occupier'!$D$41/12,'FHA Amotization'!$A206,360,'Owner Occupier'!$D$40,0,0)</f>
        <v>1018.2734680866096</v>
      </c>
      <c r="C206" s="4">
        <f>-IPMT('Owner Occupier'!$D$41/12,'FHA Amotization'!$A206,360,'Owner Occupier'!$D$40,0,0)</f>
        <v>761.88654055778284</v>
      </c>
      <c r="D206" s="4">
        <f t="shared" si="9"/>
        <v>1780.1600086443923</v>
      </c>
      <c r="E206" s="3">
        <f t="shared" si="10"/>
        <v>214102.63210116979</v>
      </c>
      <c r="F206" s="4">
        <f>('Owner Occupier'!$H$24-'Owner Occupier'!$D$52)/('Owner Occupier'!$D$56-'Owner Occupier'!$D$52)*B206</f>
        <v>483.38607135787322</v>
      </c>
      <c r="G206" s="4">
        <f t="shared" si="11"/>
        <v>70144.653609105037</v>
      </c>
    </row>
    <row r="207" spans="1:7" x14ac:dyDescent="0.25">
      <c r="A207">
        <v>204</v>
      </c>
      <c r="B207" s="4">
        <f>-PPMT('Owner Occupier'!$D$41/12,'FHA Amotization'!$A207,360,'Owner Occupier'!$D$40,0,0)</f>
        <v>1021.8798532860827</v>
      </c>
      <c r="C207" s="4">
        <f>-IPMT('Owner Occupier'!$D$41/12,'FHA Amotization'!$A207,360,'Owner Occupier'!$D$40,0,0)</f>
        <v>758.28015535830946</v>
      </c>
      <c r="D207" s="4">
        <f t="shared" si="9"/>
        <v>1780.1600086443923</v>
      </c>
      <c r="E207" s="3">
        <f t="shared" si="10"/>
        <v>213080.75224788371</v>
      </c>
      <c r="F207" s="4">
        <f>('Owner Occupier'!$H$24-'Owner Occupier'!$D$52)/('Owner Occupier'!$D$56-'Owner Occupier'!$D$52)*B207</f>
        <v>485.09806369393226</v>
      </c>
      <c r="G207" s="4">
        <f t="shared" si="11"/>
        <v>70629.751672798971</v>
      </c>
    </row>
    <row r="208" spans="1:7" x14ac:dyDescent="0.25">
      <c r="A208">
        <v>205</v>
      </c>
      <c r="B208" s="4">
        <f>-PPMT('Owner Occupier'!$D$41/12,'FHA Amotization'!$A208,360,'Owner Occupier'!$D$40,0,0)</f>
        <v>1025.4990110998044</v>
      </c>
      <c r="C208" s="4">
        <f>-IPMT('Owner Occupier'!$D$41/12,'FHA Amotization'!$A208,360,'Owner Occupier'!$D$40,0,0)</f>
        <v>754.66099754458787</v>
      </c>
      <c r="D208" s="4">
        <f t="shared" si="9"/>
        <v>1780.1600086443923</v>
      </c>
      <c r="E208" s="3">
        <f t="shared" si="10"/>
        <v>212055.2532367839</v>
      </c>
      <c r="F208" s="4">
        <f>('Owner Occupier'!$H$24-'Owner Occupier'!$D$52)/('Owner Occupier'!$D$56-'Owner Occupier'!$D$52)*B208</f>
        <v>486.81611933618166</v>
      </c>
      <c r="G208" s="4">
        <f t="shared" si="11"/>
        <v>71116.56779213516</v>
      </c>
    </row>
    <row r="209" spans="1:7" x14ac:dyDescent="0.25">
      <c r="A209">
        <v>206</v>
      </c>
      <c r="B209" s="4">
        <f>-PPMT('Owner Occupier'!$D$41/12,'FHA Amotization'!$A209,360,'Owner Occupier'!$D$40,0,0)</f>
        <v>1029.130986764116</v>
      </c>
      <c r="C209" s="4">
        <f>-IPMT('Owner Occupier'!$D$41/12,'FHA Amotization'!$A209,360,'Owner Occupier'!$D$40,0,0)</f>
        <v>751.0290218802761</v>
      </c>
      <c r="D209" s="4">
        <f t="shared" si="9"/>
        <v>1780.1600086443921</v>
      </c>
      <c r="E209" s="3">
        <f t="shared" si="10"/>
        <v>211026.12225001978</v>
      </c>
      <c r="F209" s="4">
        <f>('Owner Occupier'!$H$24-'Owner Occupier'!$D$52)/('Owner Occupier'!$D$56-'Owner Occupier'!$D$52)*B209</f>
        <v>488.54025975883053</v>
      </c>
      <c r="G209" s="4">
        <f t="shared" si="11"/>
        <v>71605.108051893985</v>
      </c>
    </row>
    <row r="210" spans="1:7" x14ac:dyDescent="0.25">
      <c r="A210">
        <v>207</v>
      </c>
      <c r="B210" s="4">
        <f>-PPMT('Owner Occupier'!$D$41/12,'FHA Amotization'!$A210,360,'Owner Occupier'!$D$40,0,0)</f>
        <v>1032.7758256755724</v>
      </c>
      <c r="C210" s="4">
        <f>-IPMT('Owner Occupier'!$D$41/12,'FHA Amotization'!$A210,360,'Owner Occupier'!$D$40,0,0)</f>
        <v>747.3841829688198</v>
      </c>
      <c r="D210" s="4">
        <f t="shared" si="9"/>
        <v>1780.1600086443923</v>
      </c>
      <c r="E210" s="3">
        <f t="shared" si="10"/>
        <v>209993.3464243442</v>
      </c>
      <c r="F210" s="4">
        <f>('Owner Occupier'!$H$24-'Owner Occupier'!$D$52)/('Owner Occupier'!$D$56-'Owner Occupier'!$D$52)*B210</f>
        <v>490.27050651214313</v>
      </c>
      <c r="G210" s="4">
        <f t="shared" si="11"/>
        <v>72095.378558406126</v>
      </c>
    </row>
    <row r="211" spans="1:7" x14ac:dyDescent="0.25">
      <c r="A211">
        <v>208</v>
      </c>
      <c r="B211" s="4">
        <f>-PPMT('Owner Occupier'!$D$41/12,'FHA Amotization'!$A211,360,'Owner Occupier'!$D$40,0,0)</f>
        <v>1036.4335733915068</v>
      </c>
      <c r="C211" s="4">
        <f>-IPMT('Owner Occupier'!$D$41/12,'FHA Amotization'!$A211,360,'Owner Occupier'!$D$40,0,0)</f>
        <v>743.72643525288561</v>
      </c>
      <c r="D211" s="4">
        <f t="shared" si="9"/>
        <v>1780.1600086443923</v>
      </c>
      <c r="E211" s="3">
        <f t="shared" si="10"/>
        <v>208956.91285095271</v>
      </c>
      <c r="F211" s="4">
        <f>('Owner Occupier'!$H$24-'Owner Occupier'!$D$52)/('Owner Occupier'!$D$56-'Owner Occupier'!$D$52)*B211</f>
        <v>492.00688122270702</v>
      </c>
      <c r="G211" s="4">
        <f t="shared" si="11"/>
        <v>72587.385439628837</v>
      </c>
    </row>
    <row r="212" spans="1:7" x14ac:dyDescent="0.25">
      <c r="A212">
        <v>209</v>
      </c>
      <c r="B212" s="4">
        <f>-PPMT('Owner Occupier'!$D$41/12,'FHA Amotization'!$A212,360,'Owner Occupier'!$D$40,0,0)</f>
        <v>1040.1042756306015</v>
      </c>
      <c r="C212" s="4">
        <f>-IPMT('Owner Occupier'!$D$41/12,'FHA Amotization'!$A212,360,'Owner Occupier'!$D$40,0,0)</f>
        <v>740.05573301379059</v>
      </c>
      <c r="D212" s="4">
        <f t="shared" si="9"/>
        <v>1780.1600086443921</v>
      </c>
      <c r="E212" s="3">
        <f t="shared" si="10"/>
        <v>207916.80857532209</v>
      </c>
      <c r="F212" s="4">
        <f>('Owner Occupier'!$H$24-'Owner Occupier'!$D$52)/('Owner Occupier'!$D$56-'Owner Occupier'!$D$52)*B212</f>
        <v>493.74940559370395</v>
      </c>
      <c r="G212" s="4">
        <f t="shared" si="11"/>
        <v>73081.134845222536</v>
      </c>
    </row>
    <row r="213" spans="1:7" x14ac:dyDescent="0.25">
      <c r="A213">
        <v>210</v>
      </c>
      <c r="B213" s="4">
        <f>-PPMT('Owner Occupier'!$D$41/12,'FHA Amotization'!$A213,360,'Owner Occupier'!$D$40,0,0)</f>
        <v>1043.7879782734599</v>
      </c>
      <c r="C213" s="4">
        <f>-IPMT('Owner Occupier'!$D$41/12,'FHA Amotization'!$A213,360,'Owner Occupier'!$D$40,0,0)</f>
        <v>736.37203037093218</v>
      </c>
      <c r="D213" s="4">
        <f t="shared" si="9"/>
        <v>1780.1600086443921</v>
      </c>
      <c r="E213" s="3">
        <f t="shared" si="10"/>
        <v>206873.02059704863</v>
      </c>
      <c r="F213" s="4">
        <f>('Owner Occupier'!$H$24-'Owner Occupier'!$D$52)/('Owner Occupier'!$D$56-'Owner Occupier'!$D$52)*B213</f>
        <v>495.49810140518167</v>
      </c>
      <c r="G213" s="4">
        <f t="shared" si="11"/>
        <v>73576.632946627724</v>
      </c>
    </row>
    <row r="214" spans="1:7" x14ac:dyDescent="0.25">
      <c r="A214">
        <v>211</v>
      </c>
      <c r="B214" s="4">
        <f>-PPMT('Owner Occupier'!$D$41/12,'FHA Amotization'!$A214,360,'Owner Occupier'!$D$40,0,0)</f>
        <v>1047.4847273631785</v>
      </c>
      <c r="C214" s="4">
        <f>-IPMT('Owner Occupier'!$D$41/12,'FHA Amotization'!$A214,360,'Owner Occupier'!$D$40,0,0)</f>
        <v>732.67528128121364</v>
      </c>
      <c r="D214" s="4">
        <f t="shared" si="9"/>
        <v>1780.1600086443923</v>
      </c>
      <c r="E214" s="3">
        <f t="shared" si="10"/>
        <v>205825.53586968544</v>
      </c>
      <c r="F214" s="4">
        <f>('Owner Occupier'!$H$24-'Owner Occupier'!$D$52)/('Owner Occupier'!$D$56-'Owner Occupier'!$D$52)*B214</f>
        <v>497.25299051432512</v>
      </c>
      <c r="G214" s="4">
        <f t="shared" si="11"/>
        <v>74073.885937142055</v>
      </c>
    </row>
    <row r="215" spans="1:7" x14ac:dyDescent="0.25">
      <c r="A215">
        <v>212</v>
      </c>
      <c r="B215" s="4">
        <f>-PPMT('Owner Occupier'!$D$41/12,'FHA Amotization'!$A215,360,'Owner Occupier'!$D$40,0,0)</f>
        <v>1051.1945691059232</v>
      </c>
      <c r="C215" s="4">
        <f>-IPMT('Owner Occupier'!$D$41/12,'FHA Amotization'!$A215,360,'Owner Occupier'!$D$40,0,0)</f>
        <v>728.96543953846924</v>
      </c>
      <c r="D215" s="4">
        <f t="shared" si="9"/>
        <v>1780.1600086443923</v>
      </c>
      <c r="E215" s="3">
        <f t="shared" si="10"/>
        <v>204774.34130057952</v>
      </c>
      <c r="F215" s="4">
        <f>('Owner Occupier'!$H$24-'Owner Occupier'!$D$52)/('Owner Occupier'!$D$56-'Owner Occupier'!$D$52)*B215</f>
        <v>499.01409485573004</v>
      </c>
      <c r="G215" s="4">
        <f t="shared" si="11"/>
        <v>74572.900031997779</v>
      </c>
    </row>
    <row r="216" spans="1:7" x14ac:dyDescent="0.25">
      <c r="A216">
        <v>213</v>
      </c>
      <c r="B216" s="4">
        <f>-PPMT('Owner Occupier'!$D$41/12,'FHA Amotization'!$A216,360,'Owner Occupier'!$D$40,0,0)</f>
        <v>1054.9175498715065</v>
      </c>
      <c r="C216" s="4">
        <f>-IPMT('Owner Occupier'!$D$41/12,'FHA Amotization'!$A216,360,'Owner Occupier'!$D$40,0,0)</f>
        <v>725.24245877288547</v>
      </c>
      <c r="D216" s="4">
        <f t="shared" si="9"/>
        <v>1780.1600086443918</v>
      </c>
      <c r="E216" s="3">
        <f t="shared" si="10"/>
        <v>203719.423750708</v>
      </c>
      <c r="F216" s="4">
        <f>('Owner Occupier'!$H$24-'Owner Occupier'!$D$52)/('Owner Occupier'!$D$56-'Owner Occupier'!$D$52)*B216</f>
        <v>500.78143644167733</v>
      </c>
      <c r="G216" s="4">
        <f t="shared" si="11"/>
        <v>75073.681468439463</v>
      </c>
    </row>
    <row r="217" spans="1:7" x14ac:dyDescent="0.25">
      <c r="A217">
        <v>214</v>
      </c>
      <c r="B217" s="4">
        <f>-PPMT('Owner Occupier'!$D$41/12,'FHA Amotization'!$A217,360,'Owner Occupier'!$D$40,0,0)</f>
        <v>1058.653716193968</v>
      </c>
      <c r="C217" s="4">
        <f>-IPMT('Owner Occupier'!$D$41/12,'FHA Amotization'!$A217,360,'Owner Occupier'!$D$40,0,0)</f>
        <v>721.50629245042387</v>
      </c>
      <c r="D217" s="4">
        <f t="shared" si="9"/>
        <v>1780.1600086443918</v>
      </c>
      <c r="E217" s="3">
        <f t="shared" si="10"/>
        <v>202660.77003451402</v>
      </c>
      <c r="F217" s="4">
        <f>('Owner Occupier'!$H$24-'Owner Occupier'!$D$52)/('Owner Occupier'!$D$56-'Owner Occupier'!$D$52)*B217</f>
        <v>502.5550373624082</v>
      </c>
      <c r="G217" s="4">
        <f t="shared" si="11"/>
        <v>75576.236505801877</v>
      </c>
    </row>
    <row r="218" spans="1:7" x14ac:dyDescent="0.25">
      <c r="A218">
        <v>215</v>
      </c>
      <c r="B218" s="4">
        <f>-PPMT('Owner Occupier'!$D$41/12,'FHA Amotization'!$A218,360,'Owner Occupier'!$D$40,0,0)</f>
        <v>1062.4031147721553</v>
      </c>
      <c r="C218" s="4">
        <f>-IPMT('Owner Occupier'!$D$41/12,'FHA Amotization'!$A218,360,'Owner Occupier'!$D$40,0,0)</f>
        <v>717.75689387223713</v>
      </c>
      <c r="D218" s="4">
        <f t="shared" si="9"/>
        <v>1780.1600086443923</v>
      </c>
      <c r="E218" s="3">
        <f t="shared" si="10"/>
        <v>201598.36691974185</v>
      </c>
      <c r="F218" s="4">
        <f>('Owner Occupier'!$H$24-'Owner Occupier'!$D$52)/('Owner Occupier'!$D$56-'Owner Occupier'!$D$52)*B218</f>
        <v>504.33491978640023</v>
      </c>
      <c r="G218" s="4">
        <f t="shared" si="11"/>
        <v>76080.571425588278</v>
      </c>
    </row>
    <row r="219" spans="1:7" x14ac:dyDescent="0.25">
      <c r="A219">
        <v>216</v>
      </c>
      <c r="B219" s="4">
        <f>-PPMT('Owner Occupier'!$D$41/12,'FHA Amotization'!$A219,360,'Owner Occupier'!$D$40,0,0)</f>
        <v>1066.1657924703065</v>
      </c>
      <c r="C219" s="4">
        <f>-IPMT('Owner Occupier'!$D$41/12,'FHA Amotization'!$A219,360,'Owner Occupier'!$D$40,0,0)</f>
        <v>713.99421617408575</v>
      </c>
      <c r="D219" s="4">
        <f t="shared" si="9"/>
        <v>1780.1600086443923</v>
      </c>
      <c r="E219" s="3">
        <f t="shared" si="10"/>
        <v>200532.20112727155</v>
      </c>
      <c r="F219" s="4">
        <f>('Owner Occupier'!$H$24-'Owner Occupier'!$D$52)/('Owner Occupier'!$D$56-'Owner Occupier'!$D$52)*B219</f>
        <v>506.12110596064372</v>
      </c>
      <c r="G219" s="4">
        <f t="shared" si="11"/>
        <v>76586.692531548921</v>
      </c>
    </row>
    <row r="220" spans="1:7" x14ac:dyDescent="0.25">
      <c r="A220">
        <v>217</v>
      </c>
      <c r="B220" s="4">
        <f>-PPMT('Owner Occupier'!$D$41/12,'FHA Amotization'!$A220,360,'Owner Occupier'!$D$40,0,0)</f>
        <v>1069.9417963186388</v>
      </c>
      <c r="C220" s="4">
        <f>-IPMT('Owner Occupier'!$D$41/12,'FHA Amotization'!$A220,360,'Owner Occupier'!$D$40,0,0)</f>
        <v>710.21821232575326</v>
      </c>
      <c r="D220" s="4">
        <f t="shared" si="9"/>
        <v>1780.1600086443921</v>
      </c>
      <c r="E220" s="3">
        <f t="shared" si="10"/>
        <v>199462.25933095292</v>
      </c>
      <c r="F220" s="4">
        <f>('Owner Occupier'!$H$24-'Owner Occupier'!$D$52)/('Owner Occupier'!$D$56-'Owner Occupier'!$D$52)*B220</f>
        <v>507.91361821092096</v>
      </c>
      <c r="G220" s="4">
        <f t="shared" si="11"/>
        <v>77094.606149759842</v>
      </c>
    </row>
    <row r="221" spans="1:7" x14ac:dyDescent="0.25">
      <c r="A221">
        <v>218</v>
      </c>
      <c r="B221" s="4">
        <f>-PPMT('Owner Occupier'!$D$41/12,'FHA Amotization'!$A221,360,'Owner Occupier'!$D$40,0,0)</f>
        <v>1073.731173513934</v>
      </c>
      <c r="C221" s="4">
        <f>-IPMT('Owner Occupier'!$D$41/12,'FHA Amotization'!$A221,360,'Owner Occupier'!$D$40,0,0)</f>
        <v>706.42883513045808</v>
      </c>
      <c r="D221" s="4">
        <f t="shared" si="9"/>
        <v>1780.1600086443921</v>
      </c>
      <c r="E221" s="3">
        <f t="shared" si="10"/>
        <v>198388.528157439</v>
      </c>
      <c r="F221" s="4">
        <f>('Owner Occupier'!$H$24-'Owner Occupier'!$D$52)/('Owner Occupier'!$D$56-'Owner Occupier'!$D$52)*B221</f>
        <v>509.7124789420846</v>
      </c>
      <c r="G221" s="4">
        <f t="shared" si="11"/>
        <v>77604.31862870192</v>
      </c>
    </row>
    <row r="222" spans="1:7" x14ac:dyDescent="0.25">
      <c r="A222">
        <v>219</v>
      </c>
      <c r="B222" s="4">
        <f>-PPMT('Owner Occupier'!$D$41/12,'FHA Amotization'!$A222,360,'Owner Occupier'!$D$40,0,0)</f>
        <v>1077.5339714201291</v>
      </c>
      <c r="C222" s="4">
        <f>-IPMT('Owner Occupier'!$D$41/12,'FHA Amotization'!$A222,360,'Owner Occupier'!$D$40,0,0)</f>
        <v>702.62603722426309</v>
      </c>
      <c r="D222" s="4">
        <f t="shared" si="9"/>
        <v>1780.1600086443923</v>
      </c>
      <c r="E222" s="3">
        <f t="shared" si="10"/>
        <v>197310.99418601886</v>
      </c>
      <c r="F222" s="4">
        <f>('Owner Occupier'!$H$24-'Owner Occupier'!$D$52)/('Owner Occupier'!$D$56-'Owner Occupier'!$D$52)*B222</f>
        <v>511.5177106383378</v>
      </c>
      <c r="G222" s="4">
        <f t="shared" si="11"/>
        <v>78115.836339340254</v>
      </c>
    </row>
    <row r="223" spans="1:7" x14ac:dyDescent="0.25">
      <c r="A223">
        <v>220</v>
      </c>
      <c r="B223" s="4">
        <f>-PPMT('Owner Occupier'!$D$41/12,'FHA Amotization'!$A223,360,'Owner Occupier'!$D$40,0,0)</f>
        <v>1081.3502375689091</v>
      </c>
      <c r="C223" s="4">
        <f>-IPMT('Owner Occupier'!$D$41/12,'FHA Amotization'!$A223,360,'Owner Occupier'!$D$40,0,0)</f>
        <v>698.80977107548335</v>
      </c>
      <c r="D223" s="4">
        <f t="shared" si="9"/>
        <v>1780.1600086443923</v>
      </c>
      <c r="E223" s="3">
        <f t="shared" si="10"/>
        <v>196229.64394844996</v>
      </c>
      <c r="F223" s="4">
        <f>('Owner Occupier'!$H$24-'Owner Occupier'!$D$52)/('Owner Occupier'!$D$56-'Owner Occupier'!$D$52)*B223</f>
        <v>513.32933586351544</v>
      </c>
      <c r="G223" s="4">
        <f t="shared" si="11"/>
        <v>78629.165675203767</v>
      </c>
    </row>
    <row r="224" spans="1:7" x14ac:dyDescent="0.25">
      <c r="A224">
        <v>221</v>
      </c>
      <c r="B224" s="4">
        <f>-PPMT('Owner Occupier'!$D$41/12,'FHA Amotization'!$A224,360,'Owner Occupier'!$D$40,0,0)</f>
        <v>1085.1800196602987</v>
      </c>
      <c r="C224" s="4">
        <f>-IPMT('Owner Occupier'!$D$41/12,'FHA Amotization'!$A224,360,'Owner Occupier'!$D$40,0,0)</f>
        <v>694.97998898409344</v>
      </c>
      <c r="D224" s="4">
        <f t="shared" si="9"/>
        <v>1780.1600086443923</v>
      </c>
      <c r="E224" s="3">
        <f t="shared" si="10"/>
        <v>195144.46392878966</v>
      </c>
      <c r="F224" s="4">
        <f>('Owner Occupier'!$H$24-'Owner Occupier'!$D$52)/('Owner Occupier'!$D$56-'Owner Occupier'!$D$52)*B224</f>
        <v>515.14737726136525</v>
      </c>
      <c r="G224" s="4">
        <f t="shared" si="11"/>
        <v>79144.313052465135</v>
      </c>
    </row>
    <row r="225" spans="1:7" x14ac:dyDescent="0.25">
      <c r="A225">
        <v>222</v>
      </c>
      <c r="B225" s="4">
        <f>-PPMT('Owner Occupier'!$D$41/12,'FHA Amotization'!$A225,360,'Owner Occupier'!$D$40,0,0)</f>
        <v>1089.0233655632624</v>
      </c>
      <c r="C225" s="4">
        <f>-IPMT('Owner Occupier'!$D$41/12,'FHA Amotization'!$A225,360,'Owner Occupier'!$D$40,0,0)</f>
        <v>691.13664308112993</v>
      </c>
      <c r="D225" s="4">
        <f t="shared" si="9"/>
        <v>1780.1600086443923</v>
      </c>
      <c r="E225" s="3">
        <f t="shared" si="10"/>
        <v>194055.44056322638</v>
      </c>
      <c r="F225" s="4">
        <f>('Owner Occupier'!$H$24-'Owner Occupier'!$D$52)/('Owner Occupier'!$D$56-'Owner Occupier'!$D$52)*B225</f>
        <v>516.97185755583257</v>
      </c>
      <c r="G225" s="4">
        <f t="shared" si="11"/>
        <v>79661.284910020971</v>
      </c>
    </row>
    <row r="226" spans="1:7" x14ac:dyDescent="0.25">
      <c r="A226">
        <v>223</v>
      </c>
      <c r="B226" s="4">
        <f>-PPMT('Owner Occupier'!$D$41/12,'FHA Amotization'!$A226,360,'Owner Occupier'!$D$40,0,0)</f>
        <v>1092.8803233162992</v>
      </c>
      <c r="C226" s="4">
        <f>-IPMT('Owner Occupier'!$D$41/12,'FHA Amotization'!$A226,360,'Owner Occupier'!$D$40,0,0)</f>
        <v>687.27968532809336</v>
      </c>
      <c r="D226" s="4">
        <f t="shared" si="9"/>
        <v>1780.1600086443925</v>
      </c>
      <c r="E226" s="3">
        <f t="shared" si="10"/>
        <v>192962.56023991009</v>
      </c>
      <c r="F226" s="4">
        <f>('Owner Occupier'!$H$24-'Owner Occupier'!$D$52)/('Owner Occupier'!$D$56-'Owner Occupier'!$D$52)*B226</f>
        <v>518.80279955134301</v>
      </c>
      <c r="G226" s="4">
        <f t="shared" si="11"/>
        <v>80180.087709572312</v>
      </c>
    </row>
    <row r="227" spans="1:7" x14ac:dyDescent="0.25">
      <c r="A227">
        <v>224</v>
      </c>
      <c r="B227" s="4">
        <f>-PPMT('Owner Occupier'!$D$41/12,'FHA Amotization'!$A227,360,'Owner Occupier'!$D$40,0,0)</f>
        <v>1096.7509411280441</v>
      </c>
      <c r="C227" s="4">
        <f>-IPMT('Owner Occupier'!$D$41/12,'FHA Amotization'!$A227,360,'Owner Occupier'!$D$40,0,0)</f>
        <v>683.40906751634805</v>
      </c>
      <c r="D227" s="4">
        <f t="shared" si="9"/>
        <v>1780.1600086443923</v>
      </c>
      <c r="E227" s="3">
        <f t="shared" si="10"/>
        <v>191865.80929878206</v>
      </c>
      <c r="F227" s="4">
        <f>('Owner Occupier'!$H$24-'Owner Occupier'!$D$52)/('Owner Occupier'!$D$56-'Owner Occupier'!$D$52)*B227</f>
        <v>520.64022613308725</v>
      </c>
      <c r="G227" s="4">
        <f t="shared" si="11"/>
        <v>80700.727935705392</v>
      </c>
    </row>
    <row r="228" spans="1:7" x14ac:dyDescent="0.25">
      <c r="A228">
        <v>225</v>
      </c>
      <c r="B228" s="4">
        <f>-PPMT('Owner Occupier'!$D$41/12,'FHA Amotization'!$A228,360,'Owner Occupier'!$D$40,0,0)</f>
        <v>1100.6352673778724</v>
      </c>
      <c r="C228" s="4">
        <f>-IPMT('Owner Occupier'!$D$41/12,'FHA Amotization'!$A228,360,'Owner Occupier'!$D$40,0,0)</f>
        <v>679.52474126651964</v>
      </c>
      <c r="D228" s="4">
        <f t="shared" si="9"/>
        <v>1780.1600086443921</v>
      </c>
      <c r="E228" s="3">
        <f t="shared" si="10"/>
        <v>190765.1740314042</v>
      </c>
      <c r="F228" s="4">
        <f>('Owner Occupier'!$H$24-'Owner Occupier'!$D$52)/('Owner Occupier'!$D$56-'Owner Occupier'!$D$52)*B228</f>
        <v>522.48416026730843</v>
      </c>
      <c r="G228" s="4">
        <f t="shared" si="11"/>
        <v>81223.212095972704</v>
      </c>
    </row>
    <row r="229" spans="1:7" x14ac:dyDescent="0.25">
      <c r="A229">
        <v>226</v>
      </c>
      <c r="B229" s="4">
        <f>-PPMT('Owner Occupier'!$D$41/12,'FHA Amotization'!$A229,360,'Owner Occupier'!$D$40,0,0)</f>
        <v>1104.5333506165025</v>
      </c>
      <c r="C229" s="4">
        <f>-IPMT('Owner Occupier'!$D$41/12,'FHA Amotization'!$A229,360,'Owner Occupier'!$D$40,0,0)</f>
        <v>675.62665802788968</v>
      </c>
      <c r="D229" s="4">
        <f t="shared" si="9"/>
        <v>1780.1600086443923</v>
      </c>
      <c r="E229" s="3">
        <f t="shared" si="10"/>
        <v>189660.64068078771</v>
      </c>
      <c r="F229" s="4">
        <f>('Owner Occupier'!$H$24-'Owner Occupier'!$D$52)/('Owner Occupier'!$D$56-'Owner Occupier'!$D$52)*B229</f>
        <v>524.33462500158851</v>
      </c>
      <c r="G229" s="4">
        <f t="shared" si="11"/>
        <v>81747.546720974293</v>
      </c>
    </row>
    <row r="230" spans="1:7" x14ac:dyDescent="0.25">
      <c r="A230">
        <v>227</v>
      </c>
      <c r="B230" s="4">
        <f>-PPMT('Owner Occupier'!$D$41/12,'FHA Amotization'!$A230,360,'Owner Occupier'!$D$40,0,0)</f>
        <v>1108.4452395666026</v>
      </c>
      <c r="C230" s="4">
        <f>-IPMT('Owner Occupier'!$D$41/12,'FHA Amotization'!$A230,360,'Owner Occupier'!$D$40,0,0)</f>
        <v>671.71476907778958</v>
      </c>
      <c r="D230" s="4">
        <f t="shared" si="9"/>
        <v>1780.1600086443923</v>
      </c>
      <c r="E230" s="3">
        <f t="shared" si="10"/>
        <v>188552.19544122109</v>
      </c>
      <c r="F230" s="4">
        <f>('Owner Occupier'!$H$24-'Owner Occupier'!$D$52)/('Owner Occupier'!$D$56-'Owner Occupier'!$D$52)*B230</f>
        <v>526.19164346513583</v>
      </c>
      <c r="G230" s="4">
        <f t="shared" si="11"/>
        <v>82273.738364439429</v>
      </c>
    </row>
    <row r="231" spans="1:7" x14ac:dyDescent="0.25">
      <c r="A231">
        <v>228</v>
      </c>
      <c r="B231" s="4">
        <f>-PPMT('Owner Occupier'!$D$41/12,'FHA Amotization'!$A231,360,'Owner Occupier'!$D$40,0,0)</f>
        <v>1112.3709831234012</v>
      </c>
      <c r="C231" s="4">
        <f>-IPMT('Owner Occupier'!$D$41/12,'FHA Amotization'!$A231,360,'Owner Occupier'!$D$40,0,0)</f>
        <v>667.78902552099123</v>
      </c>
      <c r="D231" s="4">
        <f t="shared" si="9"/>
        <v>1780.1600086443923</v>
      </c>
      <c r="E231" s="3">
        <f t="shared" si="10"/>
        <v>187439.82445809769</v>
      </c>
      <c r="F231" s="4">
        <f>('Owner Occupier'!$H$24-'Owner Occupier'!$D$52)/('Owner Occupier'!$D$56-'Owner Occupier'!$D$52)*B231</f>
        <v>528.05523886907497</v>
      </c>
      <c r="G231" s="4">
        <f t="shared" si="11"/>
        <v>82801.793603308499</v>
      </c>
    </row>
    <row r="232" spans="1:7" x14ac:dyDescent="0.25">
      <c r="A232">
        <v>229</v>
      </c>
      <c r="B232" s="4">
        <f>-PPMT('Owner Occupier'!$D$41/12,'FHA Amotization'!$A232,360,'Owner Occupier'!$D$40,0,0)</f>
        <v>1116.3106303552963</v>
      </c>
      <c r="C232" s="4">
        <f>-IPMT('Owner Occupier'!$D$41/12,'FHA Amotization'!$A232,360,'Owner Occupier'!$D$40,0,0)</f>
        <v>663.84937828909585</v>
      </c>
      <c r="D232" s="4">
        <f t="shared" si="9"/>
        <v>1780.1600086443923</v>
      </c>
      <c r="E232" s="3">
        <f t="shared" si="10"/>
        <v>186323.5138277424</v>
      </c>
      <c r="F232" s="4">
        <f>('Owner Occupier'!$H$24-'Owner Occupier'!$D$52)/('Owner Occupier'!$D$56-'Owner Occupier'!$D$52)*B232</f>
        <v>529.92543450673611</v>
      </c>
      <c r="G232" s="4">
        <f t="shared" si="11"/>
        <v>83331.71903781523</v>
      </c>
    </row>
    <row r="233" spans="1:7" x14ac:dyDescent="0.25">
      <c r="A233">
        <v>230</v>
      </c>
      <c r="B233" s="4">
        <f>-PPMT('Owner Occupier'!$D$41/12,'FHA Amotization'!$A233,360,'Owner Occupier'!$D$40,0,0)</f>
        <v>1120.2642305044715</v>
      </c>
      <c r="C233" s="4">
        <f>-IPMT('Owner Occupier'!$D$41/12,'FHA Amotization'!$A233,360,'Owner Occupier'!$D$40,0,0)</f>
        <v>659.89577813992071</v>
      </c>
      <c r="D233" s="4">
        <f t="shared" si="9"/>
        <v>1780.1600086443923</v>
      </c>
      <c r="E233" s="3">
        <f t="shared" si="10"/>
        <v>185203.24959723794</v>
      </c>
      <c r="F233" s="4">
        <f>('Owner Occupier'!$H$24-'Owner Occupier'!$D$52)/('Owner Occupier'!$D$56-'Owner Occupier'!$D$52)*B233</f>
        <v>531.80225375394753</v>
      </c>
      <c r="G233" s="4">
        <f t="shared" si="11"/>
        <v>83863.521291569181</v>
      </c>
    </row>
    <row r="234" spans="1:7" x14ac:dyDescent="0.25">
      <c r="A234">
        <v>231</v>
      </c>
      <c r="B234" s="4">
        <f>-PPMT('Owner Occupier'!$D$41/12,'FHA Amotization'!$A234,360,'Owner Occupier'!$D$40,0,0)</f>
        <v>1124.2318329875081</v>
      </c>
      <c r="C234" s="4">
        <f>-IPMT('Owner Occupier'!$D$41/12,'FHA Amotization'!$A234,360,'Owner Occupier'!$D$40,0,0)</f>
        <v>655.92817565688404</v>
      </c>
      <c r="D234" s="4">
        <f t="shared" si="9"/>
        <v>1780.1600086443923</v>
      </c>
      <c r="E234" s="3">
        <f t="shared" si="10"/>
        <v>184079.01776425043</v>
      </c>
      <c r="F234" s="4">
        <f>('Owner Occupier'!$H$24-'Owner Occupier'!$D$52)/('Owner Occupier'!$D$56-'Owner Occupier'!$D$52)*B234</f>
        <v>533.68572006932618</v>
      </c>
      <c r="G234" s="4">
        <f t="shared" si="11"/>
        <v>84397.2070116385</v>
      </c>
    </row>
    <row r="235" spans="1:7" x14ac:dyDescent="0.25">
      <c r="A235">
        <v>232</v>
      </c>
      <c r="B235" s="4">
        <f>-PPMT('Owner Occupier'!$D$41/12,'FHA Amotization'!$A235,360,'Owner Occupier'!$D$40,0,0)</f>
        <v>1128.2134873960056</v>
      </c>
      <c r="C235" s="4">
        <f>-IPMT('Owner Occupier'!$D$41/12,'FHA Amotization'!$A235,360,'Owner Occupier'!$D$40,0,0)</f>
        <v>651.94652124838672</v>
      </c>
      <c r="D235" s="4">
        <f t="shared" si="9"/>
        <v>1780.1600086443923</v>
      </c>
      <c r="E235" s="3">
        <f t="shared" si="10"/>
        <v>182950.80427685441</v>
      </c>
      <c r="F235" s="4">
        <f>('Owner Occupier'!$H$24-'Owner Occupier'!$D$52)/('Owner Occupier'!$D$56-'Owner Occupier'!$D$52)*B235</f>
        <v>535.57585699457172</v>
      </c>
      <c r="G235" s="4">
        <f t="shared" si="11"/>
        <v>84932.782868633076</v>
      </c>
    </row>
    <row r="236" spans="1:7" x14ac:dyDescent="0.25">
      <c r="A236">
        <v>233</v>
      </c>
      <c r="B236" s="4">
        <f>-PPMT('Owner Occupier'!$D$41/12,'FHA Amotization'!$A236,360,'Owner Occupier'!$D$40,0,0)</f>
        <v>1132.2092434971999</v>
      </c>
      <c r="C236" s="4">
        <f>-IPMT('Owner Occupier'!$D$41/12,'FHA Amotization'!$A236,360,'Owner Occupier'!$D$40,0,0)</f>
        <v>647.95076514719256</v>
      </c>
      <c r="D236" s="4">
        <f t="shared" si="9"/>
        <v>1780.1600086443923</v>
      </c>
      <c r="E236" s="3">
        <f t="shared" si="10"/>
        <v>181818.59503335721</v>
      </c>
      <c r="F236" s="4">
        <f>('Owner Occupier'!$H$24-'Owner Occupier'!$D$52)/('Owner Occupier'!$D$56-'Owner Occupier'!$D$52)*B236</f>
        <v>537.47268815476082</v>
      </c>
      <c r="G236" s="4">
        <f t="shared" si="11"/>
        <v>85470.25555678783</v>
      </c>
    </row>
    <row r="237" spans="1:7" x14ac:dyDescent="0.25">
      <c r="A237">
        <v>234</v>
      </c>
      <c r="B237" s="4">
        <f>-PPMT('Owner Occupier'!$D$41/12,'FHA Amotization'!$A237,360,'Owner Occupier'!$D$40,0,0)</f>
        <v>1136.2191512345858</v>
      </c>
      <c r="C237" s="4">
        <f>-IPMT('Owner Occupier'!$D$41/12,'FHA Amotization'!$A237,360,'Owner Occupier'!$D$40,0,0)</f>
        <v>643.94085740980665</v>
      </c>
      <c r="D237" s="4">
        <f t="shared" si="9"/>
        <v>1780.1600086443923</v>
      </c>
      <c r="E237" s="3">
        <f t="shared" si="10"/>
        <v>180682.37588212264</v>
      </c>
      <c r="F237" s="4">
        <f>('Owner Occupier'!$H$24-'Owner Occupier'!$D$52)/('Owner Occupier'!$D$56-'Owner Occupier'!$D$52)*B237</f>
        <v>539.37623725864228</v>
      </c>
      <c r="G237" s="4">
        <f t="shared" si="11"/>
        <v>86009.631794046465</v>
      </c>
    </row>
    <row r="238" spans="1:7" x14ac:dyDescent="0.25">
      <c r="A238">
        <v>235</v>
      </c>
      <c r="B238" s="4">
        <f>-PPMT('Owner Occupier'!$D$41/12,'FHA Amotization'!$A238,360,'Owner Occupier'!$D$40,0,0)</f>
        <v>1140.2432607285416</v>
      </c>
      <c r="C238" s="4">
        <f>-IPMT('Owner Occupier'!$D$41/12,'FHA Amotization'!$A238,360,'Owner Occupier'!$D$40,0,0)</f>
        <v>639.91674791585069</v>
      </c>
      <c r="D238" s="4">
        <f t="shared" si="9"/>
        <v>1780.1600086443923</v>
      </c>
      <c r="E238" s="3">
        <f t="shared" si="10"/>
        <v>179542.13262139409</v>
      </c>
      <c r="F238" s="4">
        <f>('Owner Occupier'!$H$24-'Owner Occupier'!$D$52)/('Owner Occupier'!$D$56-'Owner Occupier'!$D$52)*B238</f>
        <v>541.28652809893333</v>
      </c>
      <c r="G238" s="4">
        <f t="shared" si="11"/>
        <v>86550.9183221454</v>
      </c>
    </row>
    <row r="239" spans="1:7" x14ac:dyDescent="0.25">
      <c r="A239">
        <v>236</v>
      </c>
      <c r="B239" s="4">
        <f>-PPMT('Owner Occupier'!$D$41/12,'FHA Amotization'!$A239,360,'Owner Occupier'!$D$40,0,0)</f>
        <v>1144.2816222769552</v>
      </c>
      <c r="C239" s="4">
        <f>-IPMT('Owner Occupier'!$D$41/12,'FHA Amotization'!$A239,360,'Owner Occupier'!$D$40,0,0)</f>
        <v>635.8783863674372</v>
      </c>
      <c r="D239" s="4">
        <f t="shared" si="9"/>
        <v>1780.1600086443923</v>
      </c>
      <c r="E239" s="3">
        <f t="shared" si="10"/>
        <v>178397.85099911713</v>
      </c>
      <c r="F239" s="4">
        <f>('Owner Occupier'!$H$24-'Owner Occupier'!$D$52)/('Owner Occupier'!$D$56-'Owner Occupier'!$D$52)*B239</f>
        <v>543.20358455261703</v>
      </c>
      <c r="G239" s="4">
        <f t="shared" si="11"/>
        <v>87094.121906698012</v>
      </c>
    </row>
    <row r="240" spans="1:7" x14ac:dyDescent="0.25">
      <c r="A240">
        <v>237</v>
      </c>
      <c r="B240" s="4">
        <f>-PPMT('Owner Occupier'!$D$41/12,'FHA Amotization'!$A240,360,'Owner Occupier'!$D$40,0,0)</f>
        <v>1148.3342863558526</v>
      </c>
      <c r="C240" s="4">
        <f>-IPMT('Owner Occupier'!$D$41/12,'FHA Amotization'!$A240,360,'Owner Occupier'!$D$40,0,0)</f>
        <v>631.82572228853962</v>
      </c>
      <c r="D240" s="4">
        <f t="shared" si="9"/>
        <v>1780.1600086443923</v>
      </c>
      <c r="E240" s="3">
        <f t="shared" si="10"/>
        <v>177249.51671276128</v>
      </c>
      <c r="F240" s="4">
        <f>('Owner Occupier'!$H$24-'Owner Occupier'!$D$52)/('Owner Occupier'!$D$56-'Owner Occupier'!$D$52)*B240</f>
        <v>545.12743058124079</v>
      </c>
      <c r="G240" s="4">
        <f t="shared" si="11"/>
        <v>87639.249337279252</v>
      </c>
    </row>
    <row r="241" spans="1:7" x14ac:dyDescent="0.25">
      <c r="A241">
        <v>238</v>
      </c>
      <c r="B241" s="4">
        <f>-PPMT('Owner Occupier'!$D$41/12,'FHA Amotization'!$A241,360,'Owner Occupier'!$D$40,0,0)</f>
        <v>1152.4013036200297</v>
      </c>
      <c r="C241" s="4">
        <f>-IPMT('Owner Occupier'!$D$41/12,'FHA Amotization'!$A241,360,'Owner Occupier'!$D$40,0,0)</f>
        <v>627.7587050243626</v>
      </c>
      <c r="D241" s="4">
        <f t="shared" si="9"/>
        <v>1780.1600086443923</v>
      </c>
      <c r="E241" s="3">
        <f t="shared" si="10"/>
        <v>176097.11540914126</v>
      </c>
      <c r="F241" s="4">
        <f>('Owner Occupier'!$H$24-'Owner Occupier'!$D$52)/('Owner Occupier'!$D$56-'Owner Occupier'!$D$52)*B241</f>
        <v>547.05809023121606</v>
      </c>
      <c r="G241" s="4">
        <f t="shared" si="11"/>
        <v>88186.307427510474</v>
      </c>
    </row>
    <row r="242" spans="1:7" x14ac:dyDescent="0.25">
      <c r="A242">
        <v>239</v>
      </c>
      <c r="B242" s="4">
        <f>-PPMT('Owner Occupier'!$D$41/12,'FHA Amotization'!$A242,360,'Owner Occupier'!$D$40,0,0)</f>
        <v>1156.4827249036839</v>
      </c>
      <c r="C242" s="4">
        <f>-IPMT('Owner Occupier'!$D$41/12,'FHA Amotization'!$A242,360,'Owner Occupier'!$D$40,0,0)</f>
        <v>623.67728374070839</v>
      </c>
      <c r="D242" s="4">
        <f t="shared" si="9"/>
        <v>1780.1600086443923</v>
      </c>
      <c r="E242" s="3">
        <f t="shared" si="10"/>
        <v>174940.63268423759</v>
      </c>
      <c r="F242" s="4">
        <f>('Owner Occupier'!$H$24-'Owner Occupier'!$D$52)/('Owner Occupier'!$D$56-'Owner Occupier'!$D$52)*B242</f>
        <v>548.99558763411824</v>
      </c>
      <c r="G242" s="4">
        <f t="shared" si="11"/>
        <v>88735.303015144586</v>
      </c>
    </row>
    <row r="243" spans="1:7" x14ac:dyDescent="0.25">
      <c r="A243">
        <v>240</v>
      </c>
      <c r="B243" s="4">
        <f>-PPMT('Owner Occupier'!$D$41/12,'FHA Amotization'!$A243,360,'Owner Occupier'!$D$40,0,0)</f>
        <v>1160.578601221051</v>
      </c>
      <c r="C243" s="4">
        <f>-IPMT('Owner Occupier'!$D$41/12,'FHA Amotization'!$A243,360,'Owner Occupier'!$D$40,0,0)</f>
        <v>619.58140742334115</v>
      </c>
      <c r="D243" s="4">
        <f t="shared" si="9"/>
        <v>1780.1600086443923</v>
      </c>
      <c r="E243" s="3">
        <f t="shared" si="10"/>
        <v>173780.05408301653</v>
      </c>
      <c r="F243" s="4">
        <f>('Owner Occupier'!$H$24-'Owner Occupier'!$D$52)/('Owner Occupier'!$D$56-'Owner Occupier'!$D$52)*B243</f>
        <v>550.93994700698909</v>
      </c>
      <c r="G243" s="4">
        <f t="shared" si="11"/>
        <v>89286.242962151577</v>
      </c>
    </row>
    <row r="244" spans="1:7" x14ac:dyDescent="0.25">
      <c r="A244">
        <v>241</v>
      </c>
      <c r="B244" s="4">
        <f>-PPMT('Owner Occupier'!$D$41/12,'FHA Amotization'!$A244,360,'Owner Occupier'!$D$40,0,0)</f>
        <v>1164.6889837670421</v>
      </c>
      <c r="C244" s="4">
        <f>-IPMT('Owner Occupier'!$D$41/12,'FHA Amotization'!$A244,360,'Owner Occupier'!$D$40,0,0)</f>
        <v>615.47102487734992</v>
      </c>
      <c r="D244" s="4">
        <f t="shared" si="9"/>
        <v>1780.1600086443921</v>
      </c>
      <c r="E244" s="3">
        <f t="shared" si="10"/>
        <v>172615.36509924949</v>
      </c>
      <c r="F244" s="4">
        <f>('Owner Occupier'!$H$24-'Owner Occupier'!$D$52)/('Owner Occupier'!$D$56-'Owner Occupier'!$D$52)*B244</f>
        <v>552.89119265263878</v>
      </c>
      <c r="G244" s="4">
        <f t="shared" si="11"/>
        <v>89839.134154804211</v>
      </c>
    </row>
    <row r="245" spans="1:7" x14ac:dyDescent="0.25">
      <c r="A245">
        <v>242</v>
      </c>
      <c r="B245" s="4">
        <f>-PPMT('Owner Occupier'!$D$41/12,'FHA Amotization'!$A245,360,'Owner Occupier'!$D$40,0,0)</f>
        <v>1168.813923917884</v>
      </c>
      <c r="C245" s="4">
        <f>-IPMT('Owner Occupier'!$D$41/12,'FHA Amotization'!$A245,360,'Owner Occupier'!$D$40,0,0)</f>
        <v>611.34608472650837</v>
      </c>
      <c r="D245" s="4">
        <f t="shared" si="9"/>
        <v>1780.1600086443923</v>
      </c>
      <c r="E245" s="3">
        <f t="shared" si="10"/>
        <v>171446.55117533161</v>
      </c>
      <c r="F245" s="4">
        <f>('Owner Occupier'!$H$24-'Owner Occupier'!$D$52)/('Owner Occupier'!$D$56-'Owner Occupier'!$D$52)*B245</f>
        <v>554.84934895995036</v>
      </c>
      <c r="G245" s="4">
        <f t="shared" si="11"/>
        <v>90393.983503764161</v>
      </c>
    </row>
    <row r="246" spans="1:7" x14ac:dyDescent="0.25">
      <c r="A246">
        <v>243</v>
      </c>
      <c r="B246" s="4">
        <f>-PPMT('Owner Occupier'!$D$41/12,'FHA Amotization'!$A246,360,'Owner Occupier'!$D$40,0,0)</f>
        <v>1172.9534732317597</v>
      </c>
      <c r="C246" s="4">
        <f>-IPMT('Owner Occupier'!$D$41/12,'FHA Amotization'!$A246,360,'Owner Occupier'!$D$40,0,0)</f>
        <v>607.20653541263255</v>
      </c>
      <c r="D246" s="4">
        <f t="shared" si="9"/>
        <v>1780.1600086443923</v>
      </c>
      <c r="E246" s="3">
        <f t="shared" si="10"/>
        <v>170273.59770209985</v>
      </c>
      <c r="F246" s="4">
        <f>('Owner Occupier'!$H$24-'Owner Occupier'!$D$52)/('Owner Occupier'!$D$56-'Owner Occupier'!$D$52)*B246</f>
        <v>556.81444040418342</v>
      </c>
      <c r="G246" s="4">
        <f t="shared" si="11"/>
        <v>90950.797944168342</v>
      </c>
    </row>
    <row r="247" spans="1:7" x14ac:dyDescent="0.25">
      <c r="A247">
        <v>244</v>
      </c>
      <c r="B247" s="4">
        <f>-PPMT('Owner Occupier'!$D$41/12,'FHA Amotization'!$A247,360,'Owner Occupier'!$D$40,0,0)</f>
        <v>1177.1076834494554</v>
      </c>
      <c r="C247" s="4">
        <f>-IPMT('Owner Occupier'!$D$41/12,'FHA Amotization'!$A247,360,'Owner Occupier'!$D$40,0,0)</f>
        <v>603.05232519493666</v>
      </c>
      <c r="D247" s="4">
        <f t="shared" si="9"/>
        <v>1780.1600086443921</v>
      </c>
      <c r="E247" s="3">
        <f t="shared" si="10"/>
        <v>169096.49001865039</v>
      </c>
      <c r="F247" s="4">
        <f>('Owner Occupier'!$H$24-'Owner Occupier'!$D$52)/('Owner Occupier'!$D$56-'Owner Occupier'!$D$52)*B247</f>
        <v>558.78649154728157</v>
      </c>
      <c r="G247" s="4">
        <f t="shared" si="11"/>
        <v>91509.584435715617</v>
      </c>
    </row>
    <row r="248" spans="1:7" x14ac:dyDescent="0.25">
      <c r="A248">
        <v>245</v>
      </c>
      <c r="B248" s="4">
        <f>-PPMT('Owner Occupier'!$D$41/12,'FHA Amotization'!$A248,360,'Owner Occupier'!$D$40,0,0)</f>
        <v>1181.2766064950056</v>
      </c>
      <c r="C248" s="4">
        <f>-IPMT('Owner Occupier'!$D$41/12,'FHA Amotization'!$A248,360,'Owner Occupier'!$D$40,0,0)</f>
        <v>598.8834021493866</v>
      </c>
      <c r="D248" s="4">
        <f t="shared" si="9"/>
        <v>1780.1600086443923</v>
      </c>
      <c r="E248" s="3">
        <f t="shared" si="10"/>
        <v>167915.2134121554</v>
      </c>
      <c r="F248" s="4">
        <f>('Owner Occupier'!$H$24-'Owner Occupier'!$D$52)/('Owner Occupier'!$D$56-'Owner Occupier'!$D$52)*B248</f>
        <v>560.76552703817811</v>
      </c>
      <c r="G248" s="4">
        <f t="shared" si="11"/>
        <v>92070.349962753797</v>
      </c>
    </row>
    <row r="249" spans="1:7" x14ac:dyDescent="0.25">
      <c r="A249">
        <v>246</v>
      </c>
      <c r="B249" s="4">
        <f>-PPMT('Owner Occupier'!$D$41/12,'FHA Amotization'!$A249,360,'Owner Occupier'!$D$40,0,0)</f>
        <v>1185.4602944763421</v>
      </c>
      <c r="C249" s="4">
        <f>-IPMT('Owner Occupier'!$D$41/12,'FHA Amotization'!$A249,360,'Owner Occupier'!$D$40,0,0)</f>
        <v>594.69971416805004</v>
      </c>
      <c r="D249" s="4">
        <f t="shared" si="9"/>
        <v>1780.1600086443923</v>
      </c>
      <c r="E249" s="3">
        <f t="shared" si="10"/>
        <v>166729.75311767907</v>
      </c>
      <c r="F249" s="4">
        <f>('Owner Occupier'!$H$24-'Owner Occupier'!$D$52)/('Owner Occupier'!$D$56-'Owner Occupier'!$D$52)*B249</f>
        <v>562.75157161310506</v>
      </c>
      <c r="G249" s="4">
        <f t="shared" si="11"/>
        <v>92633.101534366899</v>
      </c>
    </row>
    <row r="250" spans="1:7" x14ac:dyDescent="0.25">
      <c r="A250">
        <v>247</v>
      </c>
      <c r="B250" s="4">
        <f>-PPMT('Owner Occupier'!$D$41/12,'FHA Amotization'!$A250,360,'Owner Occupier'!$D$40,0,0)</f>
        <v>1189.6587996859457</v>
      </c>
      <c r="C250" s="4">
        <f>-IPMT('Owner Occupier'!$D$41/12,'FHA Amotization'!$A250,360,'Owner Occupier'!$D$40,0,0)</f>
        <v>590.50120895844634</v>
      </c>
      <c r="D250" s="4">
        <f t="shared" si="9"/>
        <v>1780.1600086443921</v>
      </c>
      <c r="E250" s="3">
        <f t="shared" si="10"/>
        <v>165540.09431799312</v>
      </c>
      <c r="F250" s="4">
        <f>('Owner Occupier'!$H$24-'Owner Occupier'!$D$52)/('Owner Occupier'!$D$56-'Owner Occupier'!$D$52)*B250</f>
        <v>564.74465009590142</v>
      </c>
      <c r="G250" s="4">
        <f t="shared" si="11"/>
        <v>93197.846184462804</v>
      </c>
    </row>
    <row r="251" spans="1:7" x14ac:dyDescent="0.25">
      <c r="A251">
        <v>248</v>
      </c>
      <c r="B251" s="4">
        <f>-PPMT('Owner Occupier'!$D$41/12,'FHA Amotization'!$A251,360,'Owner Occupier'!$D$40,0,0)</f>
        <v>1193.8721746015001</v>
      </c>
      <c r="C251" s="4">
        <f>-IPMT('Owner Occupier'!$D$41/12,'FHA Amotization'!$A251,360,'Owner Occupier'!$D$40,0,0)</f>
        <v>586.28783404289197</v>
      </c>
      <c r="D251" s="4">
        <f t="shared" si="9"/>
        <v>1780.1600086443921</v>
      </c>
      <c r="E251" s="3">
        <f t="shared" si="10"/>
        <v>164346.22214339161</v>
      </c>
      <c r="F251" s="4">
        <f>('Owner Occupier'!$H$24-'Owner Occupier'!$D$52)/('Owner Occupier'!$D$56-'Owner Occupier'!$D$52)*B251</f>
        <v>566.74478739832443</v>
      </c>
      <c r="G251" s="4">
        <f t="shared" si="11"/>
        <v>93764.590971861122</v>
      </c>
    </row>
    <row r="252" spans="1:7" x14ac:dyDescent="0.25">
      <c r="A252">
        <v>249</v>
      </c>
      <c r="B252" s="4">
        <f>-PPMT('Owner Occupier'!$D$41/12,'FHA Amotization'!$A252,360,'Owner Occupier'!$D$40,0,0)</f>
        <v>1198.1004718865472</v>
      </c>
      <c r="C252" s="4">
        <f>-IPMT('Owner Occupier'!$D$41/12,'FHA Amotization'!$A252,360,'Owner Occupier'!$D$40,0,0)</f>
        <v>582.05953675784508</v>
      </c>
      <c r="D252" s="4">
        <f t="shared" si="9"/>
        <v>1780.1600086443923</v>
      </c>
      <c r="E252" s="3">
        <f t="shared" si="10"/>
        <v>163148.12167150507</v>
      </c>
      <c r="F252" s="4">
        <f>('Owner Occupier'!$H$24-'Owner Occupier'!$D$52)/('Owner Occupier'!$D$56-'Owner Occupier'!$D$52)*B252</f>
        <v>568.75200852036016</v>
      </c>
      <c r="G252" s="4">
        <f t="shared" si="11"/>
        <v>94333.34298038148</v>
      </c>
    </row>
    <row r="253" spans="1:7" x14ac:dyDescent="0.25">
      <c r="A253">
        <v>250</v>
      </c>
      <c r="B253" s="4">
        <f>-PPMT('Owner Occupier'!$D$41/12,'FHA Amotization'!$A253,360,'Owner Occupier'!$D$40,0,0)</f>
        <v>1202.3437443911455</v>
      </c>
      <c r="C253" s="4">
        <f>-IPMT('Owner Occupier'!$D$41/12,'FHA Amotization'!$A253,360,'Owner Occupier'!$D$40,0,0)</f>
        <v>577.8162642532468</v>
      </c>
      <c r="D253" s="4">
        <f t="shared" si="9"/>
        <v>1780.1600086443923</v>
      </c>
      <c r="E253" s="3">
        <f t="shared" si="10"/>
        <v>161945.77792711393</v>
      </c>
      <c r="F253" s="4">
        <f>('Owner Occupier'!$H$24-'Owner Occupier'!$D$52)/('Owner Occupier'!$D$56-'Owner Occupier'!$D$52)*B253</f>
        <v>570.76633855053649</v>
      </c>
      <c r="G253" s="4">
        <f t="shared" si="11"/>
        <v>94904.109318932009</v>
      </c>
    </row>
    <row r="254" spans="1:7" x14ac:dyDescent="0.25">
      <c r="A254">
        <v>251</v>
      </c>
      <c r="B254" s="4">
        <f>-PPMT('Owner Occupier'!$D$41/12,'FHA Amotization'!$A254,360,'Owner Occupier'!$D$40,0,0)</f>
        <v>1206.6020451525308</v>
      </c>
      <c r="C254" s="4">
        <f>-IPMT('Owner Occupier'!$D$41/12,'FHA Amotization'!$A254,360,'Owner Occupier'!$D$40,0,0)</f>
        <v>573.55796349186153</v>
      </c>
      <c r="D254" s="4">
        <f t="shared" si="9"/>
        <v>1780.1600086443923</v>
      </c>
      <c r="E254" s="3">
        <f t="shared" si="10"/>
        <v>160739.17588196139</v>
      </c>
      <c r="F254" s="4">
        <f>('Owner Occupier'!$H$24-'Owner Occupier'!$D$52)/('Owner Occupier'!$D$56-'Owner Occupier'!$D$52)*B254</f>
        <v>572.7878026662363</v>
      </c>
      <c r="G254" s="4">
        <f t="shared" si="11"/>
        <v>95476.897121598246</v>
      </c>
    </row>
    <row r="255" spans="1:7" x14ac:dyDescent="0.25">
      <c r="A255">
        <v>252</v>
      </c>
      <c r="B255" s="4">
        <f>-PPMT('Owner Occupier'!$D$41/12,'FHA Amotization'!$A255,360,'Owner Occupier'!$D$40,0,0)</f>
        <v>1210.8754273957793</v>
      </c>
      <c r="C255" s="4">
        <f>-IPMT('Owner Occupier'!$D$41/12,'FHA Amotization'!$A255,360,'Owner Occupier'!$D$40,0,0)</f>
        <v>569.28458124861288</v>
      </c>
      <c r="D255" s="4">
        <f t="shared" si="9"/>
        <v>1780.1600086443923</v>
      </c>
      <c r="E255" s="3">
        <f t="shared" si="10"/>
        <v>159528.30045456561</v>
      </c>
      <c r="F255" s="4">
        <f>('Owner Occupier'!$H$24-'Owner Occupier'!$D$52)/('Owner Occupier'!$D$56-'Owner Occupier'!$D$52)*B255</f>
        <v>574.81642613401254</v>
      </c>
      <c r="G255" s="4">
        <f t="shared" si="11"/>
        <v>96051.713547732259</v>
      </c>
    </row>
    <row r="256" spans="1:7" x14ac:dyDescent="0.25">
      <c r="A256">
        <v>253</v>
      </c>
      <c r="B256" s="4">
        <f>-PPMT('Owner Occupier'!$D$41/12,'FHA Amotization'!$A256,360,'Owner Occupier'!$D$40,0,0)</f>
        <v>1215.1639445344726</v>
      </c>
      <c r="C256" s="4">
        <f>-IPMT('Owner Occupier'!$D$41/12,'FHA Amotization'!$A256,360,'Owner Occupier'!$D$40,0,0)</f>
        <v>564.99606410991953</v>
      </c>
      <c r="D256" s="4">
        <f t="shared" si="9"/>
        <v>1780.1600086443923</v>
      </c>
      <c r="E256" s="3">
        <f t="shared" si="10"/>
        <v>158313.13651003115</v>
      </c>
      <c r="F256" s="4">
        <f>('Owner Occupier'!$H$24-'Owner Occupier'!$D$52)/('Owner Occupier'!$D$56-'Owner Occupier'!$D$52)*B256</f>
        <v>576.85223430990379</v>
      </c>
      <c r="G256" s="4">
        <f t="shared" si="11"/>
        <v>96628.565782042162</v>
      </c>
    </row>
    <row r="257" spans="1:7" x14ac:dyDescent="0.25">
      <c r="A257">
        <v>254</v>
      </c>
      <c r="B257" s="4">
        <f>-PPMT('Owner Occupier'!$D$41/12,'FHA Amotization'!$A257,360,'Owner Occupier'!$D$40,0,0)</f>
        <v>1219.4676501713657</v>
      </c>
      <c r="C257" s="4">
        <f>-IPMT('Owner Occupier'!$D$41/12,'FHA Amotization'!$A257,360,'Owner Occupier'!$D$40,0,0)</f>
        <v>560.69235847302662</v>
      </c>
      <c r="D257" s="4">
        <f t="shared" si="9"/>
        <v>1780.1600086443923</v>
      </c>
      <c r="E257" s="3">
        <f t="shared" si="10"/>
        <v>157093.66885985978</v>
      </c>
      <c r="F257" s="4">
        <f>('Owner Occupier'!$H$24-'Owner Occupier'!$D$52)/('Owner Occupier'!$D$56-'Owner Occupier'!$D$52)*B257</f>
        <v>578.89525263975145</v>
      </c>
      <c r="G257" s="4">
        <f t="shared" si="11"/>
        <v>97207.46103468191</v>
      </c>
    </row>
    <row r="258" spans="1:7" x14ac:dyDescent="0.25">
      <c r="A258">
        <v>255</v>
      </c>
      <c r="B258" s="4">
        <f>-PPMT('Owner Occupier'!$D$41/12,'FHA Amotization'!$A258,360,'Owner Occupier'!$D$40,0,0)</f>
        <v>1223.7865980990559</v>
      </c>
      <c r="C258" s="4">
        <f>-IPMT('Owner Occupier'!$D$41/12,'FHA Amotization'!$A258,360,'Owner Occupier'!$D$40,0,0)</f>
        <v>556.37341054533636</v>
      </c>
      <c r="D258" s="4">
        <f t="shared" si="9"/>
        <v>1780.1600086443923</v>
      </c>
      <c r="E258" s="3">
        <f t="shared" si="10"/>
        <v>155869.88226176074</v>
      </c>
      <c r="F258" s="4">
        <f>('Owner Occupier'!$H$24-'Owner Occupier'!$D$52)/('Owner Occupier'!$D$56-'Owner Occupier'!$D$52)*B258</f>
        <v>580.94550665951726</v>
      </c>
      <c r="G258" s="4">
        <f t="shared" si="11"/>
        <v>97788.406541341421</v>
      </c>
    </row>
    <row r="259" spans="1:7" x14ac:dyDescent="0.25">
      <c r="A259">
        <v>256</v>
      </c>
      <c r="B259" s="4">
        <f>-PPMT('Owner Occupier'!$D$41/12,'FHA Amotization'!$A259,360,'Owner Occupier'!$D$40,0,0)</f>
        <v>1228.1208423006567</v>
      </c>
      <c r="C259" s="4">
        <f>-IPMT('Owner Occupier'!$D$41/12,'FHA Amotization'!$A259,360,'Owner Occupier'!$D$40,0,0)</f>
        <v>552.03916634373547</v>
      </c>
      <c r="D259" s="4">
        <f t="shared" si="9"/>
        <v>1780.1600086443923</v>
      </c>
      <c r="E259" s="3">
        <f t="shared" si="10"/>
        <v>154641.76141946009</v>
      </c>
      <c r="F259" s="4">
        <f>('Owner Occupier'!$H$24-'Owner Occupier'!$D$52)/('Owner Occupier'!$D$56-'Owner Occupier'!$D$52)*B259</f>
        <v>583.00302199560304</v>
      </c>
      <c r="G259" s="4">
        <f t="shared" si="11"/>
        <v>98371.409563337031</v>
      </c>
    </row>
    <row r="260" spans="1:7" x14ac:dyDescent="0.25">
      <c r="A260">
        <v>257</v>
      </c>
      <c r="B260" s="4">
        <f>-PPMT('Owner Occupier'!$D$41/12,'FHA Amotization'!$A260,360,'Owner Occupier'!$D$40,0,0)</f>
        <v>1232.4704369504718</v>
      </c>
      <c r="C260" s="4">
        <f>-IPMT('Owner Occupier'!$D$41/12,'FHA Amotization'!$A260,360,'Owner Occupier'!$D$40,0,0)</f>
        <v>547.6895716939207</v>
      </c>
      <c r="D260" s="4">
        <f t="shared" si="9"/>
        <v>1780.1600086443925</v>
      </c>
      <c r="E260" s="3">
        <f t="shared" si="10"/>
        <v>153409.29098250961</v>
      </c>
      <c r="F260" s="4">
        <f>('Owner Occupier'!$H$24-'Owner Occupier'!$D$52)/('Owner Occupier'!$D$56-'Owner Occupier'!$D$52)*B260</f>
        <v>585.06782436517096</v>
      </c>
      <c r="G260" s="4">
        <f t="shared" si="11"/>
        <v>98956.477387702209</v>
      </c>
    </row>
    <row r="261" spans="1:7" x14ac:dyDescent="0.25">
      <c r="A261">
        <v>258</v>
      </c>
      <c r="B261" s="4">
        <f>-PPMT('Owner Occupier'!$D$41/12,'FHA Amotization'!$A261,360,'Owner Occupier'!$D$40,0,0)</f>
        <v>1236.8354364146712</v>
      </c>
      <c r="C261" s="4">
        <f>-IPMT('Owner Occupier'!$D$41/12,'FHA Amotization'!$A261,360,'Owner Occupier'!$D$40,0,0)</f>
        <v>543.32457222972107</v>
      </c>
      <c r="D261" s="4">
        <f t="shared" ref="D261:D324" si="12">B261+C261</f>
        <v>1780.1600086443923</v>
      </c>
      <c r="E261" s="3">
        <f t="shared" si="10"/>
        <v>152172.45554609495</v>
      </c>
      <c r="F261" s="4">
        <f>('Owner Occupier'!$H$24-'Owner Occupier'!$D$52)/('Owner Occupier'!$D$56-'Owner Occupier'!$D$52)*B261</f>
        <v>587.13993957646414</v>
      </c>
      <c r="G261" s="4">
        <f t="shared" si="11"/>
        <v>99543.617327278669</v>
      </c>
    </row>
    <row r="262" spans="1:7" x14ac:dyDescent="0.25">
      <c r="A262">
        <v>259</v>
      </c>
      <c r="B262" s="4">
        <f>-PPMT('Owner Occupier'!$D$41/12,'FHA Amotization'!$A262,360,'Owner Occupier'!$D$40,0,0)</f>
        <v>1241.2158952519731</v>
      </c>
      <c r="C262" s="4">
        <f>-IPMT('Owner Occupier'!$D$41/12,'FHA Amotization'!$A262,360,'Owner Occupier'!$D$40,0,0)</f>
        <v>538.94411339241901</v>
      </c>
      <c r="D262" s="4">
        <f t="shared" si="12"/>
        <v>1780.1600086443921</v>
      </c>
      <c r="E262" s="3">
        <f t="shared" ref="E262:E325" si="13">E261-B262</f>
        <v>150931.23965084297</v>
      </c>
      <c r="F262" s="4">
        <f>('Owner Occupier'!$H$24-'Owner Occupier'!$D$52)/('Owner Occupier'!$D$56-'Owner Occupier'!$D$52)*B262</f>
        <v>589.21939352913068</v>
      </c>
      <c r="G262" s="4">
        <f t="shared" ref="G262:G325" si="14">F262+G261</f>
        <v>100132.8367208078</v>
      </c>
    </row>
    <row r="263" spans="1:7" x14ac:dyDescent="0.25">
      <c r="A263">
        <v>260</v>
      </c>
      <c r="B263" s="4">
        <f>-PPMT('Owner Occupier'!$D$41/12,'FHA Amotization'!$A263,360,'Owner Occupier'!$D$40,0,0)</f>
        <v>1245.6118682143237</v>
      </c>
      <c r="C263" s="4">
        <f>-IPMT('Owner Occupier'!$D$41/12,'FHA Amotization'!$A263,360,'Owner Occupier'!$D$40,0,0)</f>
        <v>534.54814043006832</v>
      </c>
      <c r="D263" s="4">
        <f t="shared" si="12"/>
        <v>1780.1600086443921</v>
      </c>
      <c r="E263" s="3">
        <f t="shared" si="13"/>
        <v>149685.62778262864</v>
      </c>
      <c r="F263" s="4">
        <f>('Owner Occupier'!$H$24-'Owner Occupier'!$D$52)/('Owner Occupier'!$D$56-'Owner Occupier'!$D$52)*B263</f>
        <v>591.30621221454635</v>
      </c>
      <c r="G263" s="4">
        <f t="shared" si="14"/>
        <v>100724.14293302235</v>
      </c>
    </row>
    <row r="264" spans="1:7" x14ac:dyDescent="0.25">
      <c r="A264">
        <v>261</v>
      </c>
      <c r="B264" s="4">
        <f>-PPMT('Owner Occupier'!$D$41/12,'FHA Amotization'!$A264,360,'Owner Occupier'!$D$40,0,0)</f>
        <v>1250.0234102475829</v>
      </c>
      <c r="C264" s="4">
        <f>-IPMT('Owner Occupier'!$D$41/12,'FHA Amotization'!$A264,360,'Owner Occupier'!$D$40,0,0)</f>
        <v>530.13659839680929</v>
      </c>
      <c r="D264" s="4">
        <f t="shared" si="12"/>
        <v>1780.1600086443923</v>
      </c>
      <c r="E264" s="3">
        <f t="shared" si="13"/>
        <v>148435.60437238106</v>
      </c>
      <c r="F264" s="4">
        <f>('Owner Occupier'!$H$24-'Owner Occupier'!$D$52)/('Owner Occupier'!$D$56-'Owner Occupier'!$D$52)*B264</f>
        <v>593.40042171613959</v>
      </c>
      <c r="G264" s="4">
        <f t="shared" si="14"/>
        <v>101317.54335473849</v>
      </c>
    </row>
    <row r="265" spans="1:7" x14ac:dyDescent="0.25">
      <c r="A265">
        <v>262</v>
      </c>
      <c r="B265" s="4">
        <f>-PPMT('Owner Occupier'!$D$41/12,'FHA Amotization'!$A265,360,'Owner Occupier'!$D$40,0,0)</f>
        <v>1254.4505764922096</v>
      </c>
      <c r="C265" s="4">
        <f>-IPMT('Owner Occupier'!$D$41/12,'FHA Amotization'!$A265,360,'Owner Occupier'!$D$40,0,0)</f>
        <v>525.70943215218244</v>
      </c>
      <c r="D265" s="4">
        <f t="shared" si="12"/>
        <v>1780.1600086443921</v>
      </c>
      <c r="E265" s="3">
        <f t="shared" si="13"/>
        <v>147181.15379588885</v>
      </c>
      <c r="F265" s="4">
        <f>('Owner Occupier'!$H$24-'Owner Occupier'!$D$52)/('Owner Occupier'!$D$56-'Owner Occupier'!$D$52)*B265</f>
        <v>595.50204820971749</v>
      </c>
      <c r="G265" s="4">
        <f t="shared" si="14"/>
        <v>101913.04540294821</v>
      </c>
    </row>
    <row r="266" spans="1:7" x14ac:dyDescent="0.25">
      <c r="A266">
        <v>263</v>
      </c>
      <c r="B266" s="4">
        <f>-PPMT('Owner Occupier'!$D$41/12,'FHA Amotization'!$A266,360,'Owner Occupier'!$D$40,0,0)</f>
        <v>1258.893422283953</v>
      </c>
      <c r="C266" s="4">
        <f>-IPMT('Owner Occupier'!$D$41/12,'FHA Amotization'!$A266,360,'Owner Occupier'!$D$40,0,0)</f>
        <v>521.26658636043919</v>
      </c>
      <c r="D266" s="4">
        <f t="shared" si="12"/>
        <v>1780.1600086443923</v>
      </c>
      <c r="E266" s="3">
        <f t="shared" si="13"/>
        <v>145922.26037360489</v>
      </c>
      <c r="F266" s="4">
        <f>('Owner Occupier'!$H$24-'Owner Occupier'!$D$52)/('Owner Occupier'!$D$56-'Owner Occupier'!$D$52)*B266</f>
        <v>597.61111796379373</v>
      </c>
      <c r="G266" s="4">
        <f t="shared" si="14"/>
        <v>102510.656520912</v>
      </c>
    </row>
    <row r="267" spans="1:7" x14ac:dyDescent="0.25">
      <c r="A267">
        <v>264</v>
      </c>
      <c r="B267" s="4">
        <f>-PPMT('Owner Occupier'!$D$41/12,'FHA Amotization'!$A267,360,'Owner Occupier'!$D$40,0,0)</f>
        <v>1263.3520031545422</v>
      </c>
      <c r="C267" s="4">
        <f>-IPMT('Owner Occupier'!$D$41/12,'FHA Amotization'!$A267,360,'Owner Occupier'!$D$40,0,0)</f>
        <v>516.8080054898503</v>
      </c>
      <c r="D267" s="4">
        <f t="shared" si="12"/>
        <v>1780.1600086443925</v>
      </c>
      <c r="E267" s="3">
        <f t="shared" si="13"/>
        <v>144658.90837045034</v>
      </c>
      <c r="F267" s="4">
        <f>('Owner Occupier'!$H$24-'Owner Occupier'!$D$52)/('Owner Occupier'!$D$56-'Owner Occupier'!$D$52)*B267</f>
        <v>599.7276573399156</v>
      </c>
      <c r="G267" s="4">
        <f t="shared" si="14"/>
        <v>103110.38417825192</v>
      </c>
    </row>
    <row r="268" spans="1:7" x14ac:dyDescent="0.25">
      <c r="A268">
        <v>265</v>
      </c>
      <c r="B268" s="4">
        <f>-PPMT('Owner Occupier'!$D$41/12,'FHA Amotization'!$A268,360,'Owner Occupier'!$D$40,0,0)</f>
        <v>1267.8263748323811</v>
      </c>
      <c r="C268" s="4">
        <f>-IPMT('Owner Occupier'!$D$41/12,'FHA Amotization'!$A268,360,'Owner Occupier'!$D$40,0,0)</f>
        <v>512.33363381201116</v>
      </c>
      <c r="D268" s="4">
        <f t="shared" si="12"/>
        <v>1780.1600086443923</v>
      </c>
      <c r="E268" s="3">
        <f t="shared" si="13"/>
        <v>143391.08199561795</v>
      </c>
      <c r="F268" s="4">
        <f>('Owner Occupier'!$H$24-'Owner Occupier'!$D$52)/('Owner Occupier'!$D$56-'Owner Occupier'!$D$52)*B268</f>
        <v>601.85169279299441</v>
      </c>
      <c r="G268" s="4">
        <f t="shared" si="14"/>
        <v>103712.2358710449</v>
      </c>
    </row>
    <row r="269" spans="1:7" x14ac:dyDescent="0.25">
      <c r="A269">
        <v>266</v>
      </c>
      <c r="B269" s="4">
        <f>-PPMT('Owner Occupier'!$D$41/12,'FHA Amotization'!$A269,360,'Owner Occupier'!$D$40,0,0)</f>
        <v>1272.3165932432457</v>
      </c>
      <c r="C269" s="4">
        <f>-IPMT('Owner Occupier'!$D$41/12,'FHA Amotization'!$A269,360,'Owner Occupier'!$D$40,0,0)</f>
        <v>507.8434154011465</v>
      </c>
      <c r="D269" s="4">
        <f t="shared" si="12"/>
        <v>1780.1600086443923</v>
      </c>
      <c r="E269" s="3">
        <f t="shared" si="13"/>
        <v>142118.7654023747</v>
      </c>
      <c r="F269" s="4">
        <f>('Owner Occupier'!$H$24-'Owner Occupier'!$D$52)/('Owner Occupier'!$D$56-'Owner Occupier'!$D$52)*B269</f>
        <v>603.98325087163619</v>
      </c>
      <c r="G269" s="4">
        <f t="shared" si="14"/>
        <v>104316.21912191654</v>
      </c>
    </row>
    <row r="270" spans="1:7" x14ac:dyDescent="0.25">
      <c r="A270">
        <v>267</v>
      </c>
      <c r="B270" s="4">
        <f>-PPMT('Owner Occupier'!$D$41/12,'FHA Amotization'!$A270,360,'Owner Occupier'!$D$40,0,0)</f>
        <v>1276.8227145109822</v>
      </c>
      <c r="C270" s="4">
        <f>-IPMT('Owner Occupier'!$D$41/12,'FHA Amotization'!$A270,360,'Owner Occupier'!$D$40,0,0)</f>
        <v>503.33729413341001</v>
      </c>
      <c r="D270" s="4">
        <f t="shared" si="12"/>
        <v>1780.1600086443923</v>
      </c>
      <c r="E270" s="3">
        <f t="shared" si="13"/>
        <v>140841.94268786372</v>
      </c>
      <c r="F270" s="4">
        <f>('Owner Occupier'!$H$24-'Owner Occupier'!$D$52)/('Owner Occupier'!$D$56-'Owner Occupier'!$D$52)*B270</f>
        <v>606.12235821847321</v>
      </c>
      <c r="G270" s="4">
        <f t="shared" si="14"/>
        <v>104922.34148013502</v>
      </c>
    </row>
    <row r="271" spans="1:7" x14ac:dyDescent="0.25">
      <c r="A271">
        <v>268</v>
      </c>
      <c r="B271" s="4">
        <f>-PPMT('Owner Occupier'!$D$41/12,'FHA Amotization'!$A271,360,'Owner Occupier'!$D$40,0,0)</f>
        <v>1281.3447949582087</v>
      </c>
      <c r="C271" s="4">
        <f>-IPMT('Owner Occupier'!$D$41/12,'FHA Amotization'!$A271,360,'Owner Occupier'!$D$40,0,0)</f>
        <v>498.8152136861836</v>
      </c>
      <c r="D271" s="4">
        <f t="shared" si="12"/>
        <v>1780.1600086443923</v>
      </c>
      <c r="E271" s="3">
        <f t="shared" si="13"/>
        <v>139560.5978929055</v>
      </c>
      <c r="F271" s="4">
        <f>('Owner Occupier'!$H$24-'Owner Occupier'!$D$52)/('Owner Occupier'!$D$56-'Owner Occupier'!$D$52)*B271</f>
        <v>608.26904157049705</v>
      </c>
      <c r="G271" s="4">
        <f t="shared" si="14"/>
        <v>105530.61052170552</v>
      </c>
    </row>
    <row r="272" spans="1:7" x14ac:dyDescent="0.25">
      <c r="A272">
        <v>269</v>
      </c>
      <c r="B272" s="4">
        <f>-PPMT('Owner Occupier'!$D$41/12,'FHA Amotization'!$A272,360,'Owner Occupier'!$D$40,0,0)</f>
        <v>1285.8828911070191</v>
      </c>
      <c r="C272" s="4">
        <f>-IPMT('Owner Occupier'!$D$41/12,'FHA Amotization'!$A272,360,'Owner Occupier'!$D$40,0,0)</f>
        <v>494.27711753737339</v>
      </c>
      <c r="D272" s="4">
        <f t="shared" si="12"/>
        <v>1780.1600086443925</v>
      </c>
      <c r="E272" s="3">
        <f t="shared" si="13"/>
        <v>138274.71500179847</v>
      </c>
      <c r="F272" s="4">
        <f>('Owner Occupier'!$H$24-'Owner Occupier'!$D$52)/('Owner Occupier'!$D$56-'Owner Occupier'!$D$52)*B272</f>
        <v>610.42332775939258</v>
      </c>
      <c r="G272" s="4">
        <f t="shared" si="14"/>
        <v>106141.0338494649</v>
      </c>
    </row>
    <row r="273" spans="1:7" x14ac:dyDescent="0.25">
      <c r="A273">
        <v>270</v>
      </c>
      <c r="B273" s="4">
        <f>-PPMT('Owner Occupier'!$D$41/12,'FHA Amotization'!$A273,360,'Owner Occupier'!$D$40,0,0)</f>
        <v>1290.4370596796896</v>
      </c>
      <c r="C273" s="4">
        <f>-IPMT('Owner Occupier'!$D$41/12,'FHA Amotization'!$A273,360,'Owner Occupier'!$D$40,0,0)</f>
        <v>489.72294896470265</v>
      </c>
      <c r="D273" s="4">
        <f t="shared" si="12"/>
        <v>1780.1600086443923</v>
      </c>
      <c r="E273" s="3">
        <f t="shared" si="13"/>
        <v>136984.27794211879</v>
      </c>
      <c r="F273" s="4">
        <f>('Owner Occupier'!$H$24-'Owner Occupier'!$D$52)/('Owner Occupier'!$D$56-'Owner Occupier'!$D$52)*B273</f>
        <v>612.58524371187366</v>
      </c>
      <c r="G273" s="4">
        <f t="shared" si="14"/>
        <v>106753.61909317678</v>
      </c>
    </row>
    <row r="274" spans="1:7" x14ac:dyDescent="0.25">
      <c r="A274">
        <v>271</v>
      </c>
      <c r="B274" s="4">
        <f>-PPMT('Owner Occupier'!$D$41/12,'FHA Amotization'!$A274,360,'Owner Occupier'!$D$40,0,0)</f>
        <v>1295.0073575993886</v>
      </c>
      <c r="C274" s="4">
        <f>-IPMT('Owner Occupier'!$D$41/12,'FHA Amotization'!$A274,360,'Owner Occupier'!$D$40,0,0)</f>
        <v>485.15265104500367</v>
      </c>
      <c r="D274" s="4">
        <f t="shared" si="12"/>
        <v>1780.1600086443923</v>
      </c>
      <c r="E274" s="3">
        <f t="shared" si="13"/>
        <v>135689.2705845194</v>
      </c>
      <c r="F274" s="4">
        <f>('Owner Occupier'!$H$24-'Owner Occupier'!$D$52)/('Owner Occupier'!$D$56-'Owner Occupier'!$D$52)*B274</f>
        <v>614.75481645001992</v>
      </c>
      <c r="G274" s="4">
        <f t="shared" si="14"/>
        <v>107368.3739096268</v>
      </c>
    </row>
    <row r="275" spans="1:7" x14ac:dyDescent="0.25">
      <c r="A275">
        <v>272</v>
      </c>
      <c r="B275" s="4">
        <f>-PPMT('Owner Occupier'!$D$41/12,'FHA Amotization'!$A275,360,'Owner Occupier'!$D$40,0,0)</f>
        <v>1299.5938419908864</v>
      </c>
      <c r="C275" s="4">
        <f>-IPMT('Owner Occupier'!$D$41/12,'FHA Amotization'!$A275,360,'Owner Occupier'!$D$40,0,0)</f>
        <v>480.56616665350595</v>
      </c>
      <c r="D275" s="4">
        <f t="shared" si="12"/>
        <v>1780.1600086443923</v>
      </c>
      <c r="E275" s="3">
        <f t="shared" si="13"/>
        <v>134389.67674252851</v>
      </c>
      <c r="F275" s="4">
        <f>('Owner Occupier'!$H$24-'Owner Occupier'!$D$52)/('Owner Occupier'!$D$56-'Owner Occupier'!$D$52)*B275</f>
        <v>616.9320730916138</v>
      </c>
      <c r="G275" s="4">
        <f t="shared" si="14"/>
        <v>107985.3059827184</v>
      </c>
    </row>
    <row r="276" spans="1:7" x14ac:dyDescent="0.25">
      <c r="A276">
        <v>273</v>
      </c>
      <c r="B276" s="4">
        <f>-PPMT('Owner Occupier'!$D$41/12,'FHA Amotization'!$A276,360,'Owner Occupier'!$D$40,0,0)</f>
        <v>1304.1965701812705</v>
      </c>
      <c r="C276" s="4">
        <f>-IPMT('Owner Occupier'!$D$41/12,'FHA Amotization'!$A276,360,'Owner Occupier'!$D$40,0,0)</f>
        <v>475.96343846312152</v>
      </c>
      <c r="D276" s="4">
        <f t="shared" si="12"/>
        <v>1780.1600086443921</v>
      </c>
      <c r="E276" s="3">
        <f t="shared" si="13"/>
        <v>133085.48017234725</v>
      </c>
      <c r="F276" s="4">
        <f>('Owner Occupier'!$H$24-'Owner Occupier'!$D$52)/('Owner Occupier'!$D$56-'Owner Occupier'!$D$52)*B276</f>
        <v>619.11704085047973</v>
      </c>
      <c r="G276" s="4">
        <f t="shared" si="14"/>
        <v>108604.42302356889</v>
      </c>
    </row>
    <row r="277" spans="1:7" x14ac:dyDescent="0.25">
      <c r="A277">
        <v>274</v>
      </c>
      <c r="B277" s="4">
        <f>-PPMT('Owner Occupier'!$D$41/12,'FHA Amotization'!$A277,360,'Owner Occupier'!$D$40,0,0)</f>
        <v>1308.8155997006627</v>
      </c>
      <c r="C277" s="4">
        <f>-IPMT('Owner Occupier'!$D$41/12,'FHA Amotization'!$A277,360,'Owner Occupier'!$D$40,0,0)</f>
        <v>471.34440894372955</v>
      </c>
      <c r="D277" s="4">
        <f t="shared" si="12"/>
        <v>1780.1600086443923</v>
      </c>
      <c r="E277" s="3">
        <f t="shared" si="13"/>
        <v>131776.66457264658</v>
      </c>
      <c r="F277" s="4">
        <f>('Owner Occupier'!$H$24-'Owner Occupier'!$D$52)/('Owner Occupier'!$D$56-'Owner Occupier'!$D$52)*B277</f>
        <v>621.30974703682523</v>
      </c>
      <c r="G277" s="4">
        <f t="shared" si="14"/>
        <v>109225.73277060571</v>
      </c>
    </row>
    <row r="278" spans="1:7" x14ac:dyDescent="0.25">
      <c r="A278">
        <v>275</v>
      </c>
      <c r="B278" s="4">
        <f>-PPMT('Owner Occupier'!$D$41/12,'FHA Amotization'!$A278,360,'Owner Occupier'!$D$40,0,0)</f>
        <v>1313.4509882829359</v>
      </c>
      <c r="C278" s="4">
        <f>-IPMT('Owner Occupier'!$D$41/12,'FHA Amotization'!$A278,360,'Owner Occupier'!$D$40,0,0)</f>
        <v>466.70902036145634</v>
      </c>
      <c r="D278" s="4">
        <f t="shared" si="12"/>
        <v>1780.1600086443923</v>
      </c>
      <c r="E278" s="3">
        <f t="shared" si="13"/>
        <v>130463.21358436365</v>
      </c>
      <c r="F278" s="4">
        <f>('Owner Occupier'!$H$24-'Owner Occupier'!$D$52)/('Owner Occupier'!$D$56-'Owner Occupier'!$D$52)*B278</f>
        <v>623.51021905758068</v>
      </c>
      <c r="G278" s="4">
        <f t="shared" si="14"/>
        <v>109849.2429896633</v>
      </c>
    </row>
    <row r="279" spans="1:7" x14ac:dyDescent="0.25">
      <c r="A279">
        <v>276</v>
      </c>
      <c r="B279" s="4">
        <f>-PPMT('Owner Occupier'!$D$41/12,'FHA Amotization'!$A279,360,'Owner Occupier'!$D$40,0,0)</f>
        <v>1318.1027938664379</v>
      </c>
      <c r="C279" s="4">
        <f>-IPMT('Owner Occupier'!$D$41/12,'FHA Amotization'!$A279,360,'Owner Occupier'!$D$40,0,0)</f>
        <v>462.05721477795436</v>
      </c>
      <c r="D279" s="4">
        <f t="shared" si="12"/>
        <v>1780.1600086443923</v>
      </c>
      <c r="E279" s="3">
        <f t="shared" si="13"/>
        <v>129145.11079049722</v>
      </c>
      <c r="F279" s="4">
        <f>('Owner Occupier'!$H$24-'Owner Occupier'!$D$52)/('Owner Occupier'!$D$56-'Owner Occupier'!$D$52)*B279</f>
        <v>625.71848441674297</v>
      </c>
      <c r="G279" s="4">
        <f t="shared" si="14"/>
        <v>110474.96147408005</v>
      </c>
    </row>
    <row r="280" spans="1:7" x14ac:dyDescent="0.25">
      <c r="A280">
        <v>277</v>
      </c>
      <c r="B280" s="4">
        <f>-PPMT('Owner Occupier'!$D$41/12,'FHA Amotization'!$A280,360,'Owner Occupier'!$D$40,0,0)</f>
        <v>1322.7710745947149</v>
      </c>
      <c r="C280" s="4">
        <f>-IPMT('Owner Occupier'!$D$41/12,'FHA Amotization'!$A280,360,'Owner Occupier'!$D$40,0,0)</f>
        <v>457.38893404967729</v>
      </c>
      <c r="D280" s="4">
        <f t="shared" si="12"/>
        <v>1780.1600086443923</v>
      </c>
      <c r="E280" s="3">
        <f t="shared" si="13"/>
        <v>127822.3397159025</v>
      </c>
      <c r="F280" s="4">
        <f>('Owner Occupier'!$H$24-'Owner Occupier'!$D$52)/('Owner Occupier'!$D$56-'Owner Occupier'!$D$52)*B280</f>
        <v>627.93457071571891</v>
      </c>
      <c r="G280" s="4">
        <f t="shared" si="14"/>
        <v>111102.89604479577</v>
      </c>
    </row>
    <row r="281" spans="1:7" x14ac:dyDescent="0.25">
      <c r="A281">
        <v>278</v>
      </c>
      <c r="B281" s="4">
        <f>-PPMT('Owner Occupier'!$D$41/12,'FHA Amotization'!$A281,360,'Owner Occupier'!$D$40,0,0)</f>
        <v>1327.4558888172378</v>
      </c>
      <c r="C281" s="4">
        <f>-IPMT('Owner Occupier'!$D$41/12,'FHA Amotization'!$A281,360,'Owner Occupier'!$D$40,0,0)</f>
        <v>452.70411982715439</v>
      </c>
      <c r="D281" s="4">
        <f t="shared" si="12"/>
        <v>1780.1600086443923</v>
      </c>
      <c r="E281" s="3">
        <f t="shared" si="13"/>
        <v>126494.88382708527</v>
      </c>
      <c r="F281" s="4">
        <f>('Owner Occupier'!$H$24-'Owner Occupier'!$D$52)/('Owner Occupier'!$D$56-'Owner Occupier'!$D$52)*B281</f>
        <v>630.15850565367043</v>
      </c>
      <c r="G281" s="4">
        <f t="shared" si="14"/>
        <v>111733.05455044944</v>
      </c>
    </row>
    <row r="282" spans="1:7" x14ac:dyDescent="0.25">
      <c r="A282">
        <v>279</v>
      </c>
      <c r="B282" s="4">
        <f>-PPMT('Owner Occupier'!$D$41/12,'FHA Amotization'!$A282,360,'Owner Occupier'!$D$40,0,0)</f>
        <v>1332.1572950901323</v>
      </c>
      <c r="C282" s="4">
        <f>-IPMT('Owner Occupier'!$D$41/12,'FHA Amotization'!$A282,360,'Owner Occupier'!$D$40,0,0)</f>
        <v>448.00271355425997</v>
      </c>
      <c r="D282" s="4">
        <f t="shared" si="12"/>
        <v>1780.1600086443923</v>
      </c>
      <c r="E282" s="3">
        <f t="shared" si="13"/>
        <v>125162.72653199514</v>
      </c>
      <c r="F282" s="4">
        <f>('Owner Occupier'!$H$24-'Owner Occupier'!$D$52)/('Owner Occupier'!$D$56-'Owner Occupier'!$D$52)*B282</f>
        <v>632.39031702786053</v>
      </c>
      <c r="G282" s="4">
        <f t="shared" si="14"/>
        <v>112365.4448674773</v>
      </c>
    </row>
    <row r="283" spans="1:7" x14ac:dyDescent="0.25">
      <c r="A283">
        <v>280</v>
      </c>
      <c r="B283" s="4">
        <f>-PPMT('Owner Occupier'!$D$41/12,'FHA Amotization'!$A283,360,'Owner Occupier'!$D$40,0,0)</f>
        <v>1336.8753521769097</v>
      </c>
      <c r="C283" s="4">
        <f>-IPMT('Owner Occupier'!$D$41/12,'FHA Amotization'!$A283,360,'Owner Occupier'!$D$40,0,0)</f>
        <v>443.28465646748242</v>
      </c>
      <c r="D283" s="4">
        <f t="shared" si="12"/>
        <v>1780.1600086443921</v>
      </c>
      <c r="E283" s="3">
        <f t="shared" si="13"/>
        <v>123825.85117981823</v>
      </c>
      <c r="F283" s="4">
        <f>('Owner Occupier'!$H$24-'Owner Occupier'!$D$52)/('Owner Occupier'!$D$56-'Owner Occupier'!$D$52)*B283</f>
        <v>634.63003273400079</v>
      </c>
      <c r="G283" s="4">
        <f t="shared" si="14"/>
        <v>113000.0749002113</v>
      </c>
    </row>
    <row r="284" spans="1:7" x14ac:dyDescent="0.25">
      <c r="A284">
        <v>281</v>
      </c>
      <c r="B284" s="4">
        <f>-PPMT('Owner Occupier'!$D$41/12,'FHA Amotization'!$A284,360,'Owner Occupier'!$D$40,0,0)</f>
        <v>1341.6101190492031</v>
      </c>
      <c r="C284" s="4">
        <f>-IPMT('Owner Occupier'!$D$41/12,'FHA Amotization'!$A284,360,'Owner Occupier'!$D$40,0,0)</f>
        <v>438.5498895951892</v>
      </c>
      <c r="D284" s="4">
        <f t="shared" si="12"/>
        <v>1780.1600086443923</v>
      </c>
      <c r="E284" s="3">
        <f t="shared" si="13"/>
        <v>122484.24106076903</v>
      </c>
      <c r="F284" s="4">
        <f>('Owner Occupier'!$H$24-'Owner Occupier'!$D$52)/('Owner Occupier'!$D$56-'Owner Occupier'!$D$52)*B284</f>
        <v>636.87768076660052</v>
      </c>
      <c r="G284" s="4">
        <f t="shared" si="14"/>
        <v>113636.9525809779</v>
      </c>
    </row>
    <row r="285" spans="1:7" x14ac:dyDescent="0.25">
      <c r="A285">
        <v>282</v>
      </c>
      <c r="B285" s="4">
        <f>-PPMT('Owner Occupier'!$D$41/12,'FHA Amotization'!$A285,360,'Owner Occupier'!$D$40,0,0)</f>
        <v>1346.3616548875023</v>
      </c>
      <c r="C285" s="4">
        <f>-IPMT('Owner Occupier'!$D$41/12,'FHA Amotization'!$A285,360,'Owner Occupier'!$D$40,0,0)</f>
        <v>433.79835375688992</v>
      </c>
      <c r="D285" s="4">
        <f t="shared" si="12"/>
        <v>1780.1600086443923</v>
      </c>
      <c r="E285" s="3">
        <f t="shared" si="13"/>
        <v>121137.87940588153</v>
      </c>
      <c r="F285" s="4">
        <f>('Owner Occupier'!$H$24-'Owner Occupier'!$D$52)/('Owner Occupier'!$D$56-'Owner Occupier'!$D$52)*B285</f>
        <v>639.13328921931554</v>
      </c>
      <c r="G285" s="4">
        <f t="shared" si="14"/>
        <v>114276.08587019722</v>
      </c>
    </row>
    <row r="286" spans="1:7" x14ac:dyDescent="0.25">
      <c r="A286">
        <v>283</v>
      </c>
      <c r="B286" s="4">
        <f>-PPMT('Owner Occupier'!$D$41/12,'FHA Amotization'!$A286,360,'Owner Occupier'!$D$40,0,0)</f>
        <v>1351.1300190818956</v>
      </c>
      <c r="C286" s="4">
        <f>-IPMT('Owner Occupier'!$D$41/12,'FHA Amotization'!$A286,360,'Owner Occupier'!$D$40,0,0)</f>
        <v>429.02998956249667</v>
      </c>
      <c r="D286" s="4">
        <f t="shared" si="12"/>
        <v>1780.1600086443923</v>
      </c>
      <c r="E286" s="3">
        <f t="shared" si="13"/>
        <v>119786.74938679962</v>
      </c>
      <c r="F286" s="4">
        <f>('Owner Occupier'!$H$24-'Owner Occupier'!$D$52)/('Owner Occupier'!$D$56-'Owner Occupier'!$D$52)*B286</f>
        <v>641.39688628530064</v>
      </c>
      <c r="G286" s="4">
        <f t="shared" si="14"/>
        <v>114917.48275648252</v>
      </c>
    </row>
    <row r="287" spans="1:7" x14ac:dyDescent="0.25">
      <c r="A287">
        <v>284</v>
      </c>
      <c r="B287" s="4">
        <f>-PPMT('Owner Occupier'!$D$41/12,'FHA Amotization'!$A287,360,'Owner Occupier'!$D$40,0,0)</f>
        <v>1355.9152712328105</v>
      </c>
      <c r="C287" s="4">
        <f>-IPMT('Owner Occupier'!$D$41/12,'FHA Amotization'!$A287,360,'Owner Occupier'!$D$40,0,0)</f>
        <v>424.24473741158164</v>
      </c>
      <c r="D287" s="4">
        <f t="shared" si="12"/>
        <v>1780.1600086443921</v>
      </c>
      <c r="E287" s="3">
        <f t="shared" si="13"/>
        <v>118430.83411556682</v>
      </c>
      <c r="F287" s="4">
        <f>('Owner Occupier'!$H$24-'Owner Occupier'!$D$52)/('Owner Occupier'!$D$56-'Owner Occupier'!$D$52)*B287</f>
        <v>643.66850025756094</v>
      </c>
      <c r="G287" s="4">
        <f t="shared" si="14"/>
        <v>115561.15125674008</v>
      </c>
    </row>
    <row r="288" spans="1:7" x14ac:dyDescent="0.25">
      <c r="A288">
        <v>285</v>
      </c>
      <c r="B288" s="4">
        <f>-PPMT('Owner Occupier'!$D$41/12,'FHA Amotization'!$A288,360,'Owner Occupier'!$D$40,0,0)</f>
        <v>1360.7174711517603</v>
      </c>
      <c r="C288" s="4">
        <f>-IPMT('Owner Occupier'!$D$41/12,'FHA Amotization'!$A288,360,'Owner Occupier'!$D$40,0,0)</f>
        <v>419.44253749263214</v>
      </c>
      <c r="D288" s="4">
        <f t="shared" si="12"/>
        <v>1780.1600086443923</v>
      </c>
      <c r="E288" s="3">
        <f t="shared" si="13"/>
        <v>117070.11664441506</v>
      </c>
      <c r="F288" s="4">
        <f>('Owner Occupier'!$H$24-'Owner Occupier'!$D$52)/('Owner Occupier'!$D$56-'Owner Occupier'!$D$52)*B288</f>
        <v>645.94815952930662</v>
      </c>
      <c r="G288" s="4">
        <f t="shared" si="14"/>
        <v>116207.09941626938</v>
      </c>
    </row>
    <row r="289" spans="1:7" x14ac:dyDescent="0.25">
      <c r="A289">
        <v>286</v>
      </c>
      <c r="B289" s="4">
        <f>-PPMT('Owner Occupier'!$D$41/12,'FHA Amotization'!$A289,360,'Owner Occupier'!$D$40,0,0)</f>
        <v>1365.5366788620893</v>
      </c>
      <c r="C289" s="4">
        <f>-IPMT('Owner Occupier'!$D$41/12,'FHA Amotization'!$A289,360,'Owner Occupier'!$D$40,0,0)</f>
        <v>414.62332978230296</v>
      </c>
      <c r="D289" s="4">
        <f t="shared" si="12"/>
        <v>1780.1600086443923</v>
      </c>
      <c r="E289" s="3">
        <f t="shared" si="13"/>
        <v>115704.57996555297</v>
      </c>
      <c r="F289" s="4">
        <f>('Owner Occupier'!$H$24-'Owner Occupier'!$D$52)/('Owner Occupier'!$D$56-'Owner Occupier'!$D$52)*B289</f>
        <v>648.23589259430616</v>
      </c>
      <c r="G289" s="4">
        <f t="shared" si="14"/>
        <v>116855.33530886369</v>
      </c>
    </row>
    <row r="290" spans="1:7" x14ac:dyDescent="0.25">
      <c r="A290">
        <v>287</v>
      </c>
      <c r="B290" s="4">
        <f>-PPMT('Owner Occupier'!$D$41/12,'FHA Amotization'!$A290,360,'Owner Occupier'!$D$40,0,0)</f>
        <v>1370.3729545997257</v>
      </c>
      <c r="C290" s="4">
        <f>-IPMT('Owner Occupier'!$D$41/12,'FHA Amotization'!$A290,360,'Owner Occupier'!$D$40,0,0)</f>
        <v>409.78705404466638</v>
      </c>
      <c r="D290" s="4">
        <f t="shared" si="12"/>
        <v>1780.1600086443921</v>
      </c>
      <c r="E290" s="3">
        <f t="shared" si="13"/>
        <v>114334.20701095325</v>
      </c>
      <c r="F290" s="4">
        <f>('Owner Occupier'!$H$24-'Owner Occupier'!$D$52)/('Owner Occupier'!$D$56-'Owner Occupier'!$D$52)*B290</f>
        <v>650.53172804724431</v>
      </c>
      <c r="G290" s="4">
        <f t="shared" si="14"/>
        <v>117505.86703691093</v>
      </c>
    </row>
    <row r="291" spans="1:7" x14ac:dyDescent="0.25">
      <c r="A291">
        <v>288</v>
      </c>
      <c r="B291" s="4">
        <f>-PPMT('Owner Occupier'!$D$41/12,'FHA Amotization'!$A291,360,'Owner Occupier'!$D$40,0,0)</f>
        <v>1375.2263588139333</v>
      </c>
      <c r="C291" s="4">
        <f>-IPMT('Owner Occupier'!$D$41/12,'FHA Amotization'!$A291,360,'Owner Occupier'!$D$40,0,0)</f>
        <v>404.93364983045905</v>
      </c>
      <c r="D291" s="4">
        <f t="shared" si="12"/>
        <v>1780.1600086443923</v>
      </c>
      <c r="E291" s="3">
        <f t="shared" si="13"/>
        <v>112958.98065213932</v>
      </c>
      <c r="F291" s="4">
        <f>('Owner Occupier'!$H$24-'Owner Occupier'!$D$52)/('Owner Occupier'!$D$56-'Owner Occupier'!$D$52)*B291</f>
        <v>652.8356945840784</v>
      </c>
      <c r="G291" s="4">
        <f t="shared" si="14"/>
        <v>118158.70273149501</v>
      </c>
    </row>
    <row r="292" spans="1:7" x14ac:dyDescent="0.25">
      <c r="A292">
        <v>289</v>
      </c>
      <c r="B292" s="4">
        <f>-PPMT('Owner Occupier'!$D$41/12,'FHA Amotization'!$A292,360,'Owner Occupier'!$D$40,0,0)</f>
        <v>1380.0969521680659</v>
      </c>
      <c r="C292" s="4">
        <f>-IPMT('Owner Occupier'!$D$41/12,'FHA Amotization'!$A292,360,'Owner Occupier'!$D$40,0,0)</f>
        <v>400.06305647632632</v>
      </c>
      <c r="D292" s="4">
        <f t="shared" si="12"/>
        <v>1780.1600086443923</v>
      </c>
      <c r="E292" s="3">
        <f t="shared" si="13"/>
        <v>111578.88369997125</v>
      </c>
      <c r="F292" s="4">
        <f>('Owner Occupier'!$H$24-'Owner Occupier'!$D$52)/('Owner Occupier'!$D$56-'Owner Occupier'!$D$52)*B292</f>
        <v>655.14782100239688</v>
      </c>
      <c r="G292" s="4">
        <f t="shared" si="14"/>
        <v>118813.8505524974</v>
      </c>
    </row>
    <row r="293" spans="1:7" x14ac:dyDescent="0.25">
      <c r="A293">
        <v>290</v>
      </c>
      <c r="B293" s="4">
        <f>-PPMT('Owner Occupier'!$D$41/12,'FHA Amotization'!$A293,360,'Owner Occupier'!$D$40,0,0)</f>
        <v>1384.9847955403277</v>
      </c>
      <c r="C293" s="4">
        <f>-IPMT('Owner Occupier'!$D$41/12,'FHA Amotization'!$A293,360,'Owner Occupier'!$D$40,0,0)</f>
        <v>395.17521310406454</v>
      </c>
      <c r="D293" s="4">
        <f t="shared" si="12"/>
        <v>1780.1600086443923</v>
      </c>
      <c r="E293" s="3">
        <f t="shared" si="13"/>
        <v>110193.89890443093</v>
      </c>
      <c r="F293" s="4">
        <f>('Owner Occupier'!$H$24-'Owner Occupier'!$D$52)/('Owner Occupier'!$D$56-'Owner Occupier'!$D$52)*B293</f>
        <v>657.46813620178045</v>
      </c>
      <c r="G293" s="4">
        <f t="shared" si="14"/>
        <v>119471.31868869919</v>
      </c>
    </row>
    <row r="294" spans="1:7" x14ac:dyDescent="0.25">
      <c r="A294">
        <v>291</v>
      </c>
      <c r="B294" s="4">
        <f>-PPMT('Owner Occupier'!$D$41/12,'FHA Amotization'!$A294,360,'Owner Occupier'!$D$40,0,0)</f>
        <v>1389.8899500245332</v>
      </c>
      <c r="C294" s="4">
        <f>-IPMT('Owner Occupier'!$D$41/12,'FHA Amotization'!$A294,360,'Owner Occupier'!$D$40,0,0)</f>
        <v>390.27005861985907</v>
      </c>
      <c r="D294" s="4">
        <f t="shared" si="12"/>
        <v>1780.1600086443923</v>
      </c>
      <c r="E294" s="3">
        <f t="shared" si="13"/>
        <v>108804.0089544064</v>
      </c>
      <c r="F294" s="4">
        <f>('Owner Occupier'!$H$24-'Owner Occupier'!$D$52)/('Owner Occupier'!$D$56-'Owner Occupier'!$D$52)*B294</f>
        <v>659.79666918416171</v>
      </c>
      <c r="G294" s="4">
        <f t="shared" si="14"/>
        <v>120131.11535788335</v>
      </c>
    </row>
    <row r="295" spans="1:7" x14ac:dyDescent="0.25">
      <c r="A295">
        <v>292</v>
      </c>
      <c r="B295" s="4">
        <f>-PPMT('Owner Occupier'!$D$41/12,'FHA Amotization'!$A295,360,'Owner Occupier'!$D$40,0,0)</f>
        <v>1394.8124769308702</v>
      </c>
      <c r="C295" s="4">
        <f>-IPMT('Owner Occupier'!$D$41/12,'FHA Amotization'!$A295,360,'Owner Occupier'!$D$40,0,0)</f>
        <v>385.34753171352219</v>
      </c>
      <c r="D295" s="4">
        <f t="shared" si="12"/>
        <v>1780.1600086443923</v>
      </c>
      <c r="E295" s="3">
        <f t="shared" si="13"/>
        <v>107409.19647747553</v>
      </c>
      <c r="F295" s="4">
        <f>('Owner Occupier'!$H$24-'Owner Occupier'!$D$52)/('Owner Occupier'!$D$56-'Owner Occupier'!$D$52)*B295</f>
        <v>662.1334490541891</v>
      </c>
      <c r="G295" s="4">
        <f t="shared" si="14"/>
        <v>120793.24880693754</v>
      </c>
    </row>
    <row r="296" spans="1:7" x14ac:dyDescent="0.25">
      <c r="A296">
        <v>293</v>
      </c>
      <c r="B296" s="4">
        <f>-PPMT('Owner Occupier'!$D$41/12,'FHA Amotization'!$A296,360,'Owner Occupier'!$D$40,0,0)</f>
        <v>1399.7524377866671</v>
      </c>
      <c r="C296" s="4">
        <f>-IPMT('Owner Occupier'!$D$41/12,'FHA Amotization'!$A296,360,'Owner Occupier'!$D$40,0,0)</f>
        <v>380.40757085772537</v>
      </c>
      <c r="D296" s="4">
        <f t="shared" si="12"/>
        <v>1780.1600086443925</v>
      </c>
      <c r="E296" s="3">
        <f t="shared" si="13"/>
        <v>106009.44403968887</v>
      </c>
      <c r="F296" s="4">
        <f>('Owner Occupier'!$H$24-'Owner Occupier'!$D$52)/('Owner Occupier'!$D$56-'Owner Occupier'!$D$52)*B296</f>
        <v>664.47850501958931</v>
      </c>
      <c r="G296" s="4">
        <f t="shared" si="14"/>
        <v>121457.72731195713</v>
      </c>
    </row>
    <row r="297" spans="1:7" x14ac:dyDescent="0.25">
      <c r="A297">
        <v>294</v>
      </c>
      <c r="B297" s="4">
        <f>-PPMT('Owner Occupier'!$D$41/12,'FHA Amotization'!$A297,360,'Owner Occupier'!$D$40,0,0)</f>
        <v>1404.7098943371614</v>
      </c>
      <c r="C297" s="4">
        <f>-IPMT('Owner Occupier'!$D$41/12,'FHA Amotization'!$A297,360,'Owner Occupier'!$D$40,0,0)</f>
        <v>375.45011430723093</v>
      </c>
      <c r="D297" s="4">
        <f t="shared" si="12"/>
        <v>1780.1600086443923</v>
      </c>
      <c r="E297" s="3">
        <f t="shared" si="13"/>
        <v>104604.7341453517</v>
      </c>
      <c r="F297" s="4">
        <f>('Owner Occupier'!$H$24-'Owner Occupier'!$D$52)/('Owner Occupier'!$D$56-'Owner Occupier'!$D$52)*B297</f>
        <v>666.83186639153371</v>
      </c>
      <c r="G297" s="4">
        <f t="shared" si="14"/>
        <v>122124.55917834866</v>
      </c>
    </row>
    <row r="298" spans="1:7" x14ac:dyDescent="0.25">
      <c r="A298">
        <v>295</v>
      </c>
      <c r="B298" s="4">
        <f>-PPMT('Owner Occupier'!$D$41/12,'FHA Amotization'!$A298,360,'Owner Occupier'!$D$40,0,0)</f>
        <v>1409.684908546272</v>
      </c>
      <c r="C298" s="4">
        <f>-IPMT('Owner Occupier'!$D$41/12,'FHA Amotization'!$A298,360,'Owner Occupier'!$D$40,0,0)</f>
        <v>370.47510009812015</v>
      </c>
      <c r="D298" s="4">
        <f t="shared" si="12"/>
        <v>1780.1600086443923</v>
      </c>
      <c r="E298" s="3">
        <f t="shared" si="13"/>
        <v>103195.04923680543</v>
      </c>
      <c r="F298" s="4">
        <f>('Owner Occupier'!$H$24-'Owner Occupier'!$D$52)/('Owner Occupier'!$D$56-'Owner Occupier'!$D$52)*B298</f>
        <v>669.19356258500363</v>
      </c>
      <c r="G298" s="4">
        <f t="shared" si="14"/>
        <v>122793.75274093366</v>
      </c>
    </row>
    <row r="299" spans="1:7" x14ac:dyDescent="0.25">
      <c r="A299">
        <v>296</v>
      </c>
      <c r="B299" s="4">
        <f>-PPMT('Owner Occupier'!$D$41/12,'FHA Amotization'!$A299,360,'Owner Occupier'!$D$40,0,0)</f>
        <v>1414.6775425973735</v>
      </c>
      <c r="C299" s="4">
        <f>-IPMT('Owner Occupier'!$D$41/12,'FHA Amotization'!$A299,360,'Owner Occupier'!$D$40,0,0)</f>
        <v>365.4824660470187</v>
      </c>
      <c r="D299" s="4">
        <f t="shared" si="12"/>
        <v>1780.1600086443923</v>
      </c>
      <c r="E299" s="3">
        <f t="shared" si="13"/>
        <v>101780.37169420805</v>
      </c>
      <c r="F299" s="4">
        <f>('Owner Occupier'!$H$24-'Owner Occupier'!$D$52)/('Owner Occupier'!$D$56-'Owner Occupier'!$D$52)*B299</f>
        <v>671.56362311915893</v>
      </c>
      <c r="G299" s="4">
        <f t="shared" si="14"/>
        <v>123465.31636405282</v>
      </c>
    </row>
    <row r="300" spans="1:7" x14ac:dyDescent="0.25">
      <c r="A300">
        <v>297</v>
      </c>
      <c r="B300" s="4">
        <f>-PPMT('Owner Occupier'!$D$41/12,'FHA Amotization'!$A300,360,'Owner Occupier'!$D$40,0,0)</f>
        <v>1419.6878588940726</v>
      </c>
      <c r="C300" s="4">
        <f>-IPMT('Owner Occupier'!$D$41/12,'FHA Amotization'!$A300,360,'Owner Occupier'!$D$40,0,0)</f>
        <v>360.47214975031972</v>
      </c>
      <c r="D300" s="4">
        <f t="shared" si="12"/>
        <v>1780.1600086443923</v>
      </c>
      <c r="E300" s="3">
        <f t="shared" si="13"/>
        <v>100360.68383531398</v>
      </c>
      <c r="F300" s="4">
        <f>('Owner Occupier'!$H$24-'Owner Occupier'!$D$52)/('Owner Occupier'!$D$56-'Owner Occupier'!$D$52)*B300</f>
        <v>673.94207761770599</v>
      </c>
      <c r="G300" s="4">
        <f t="shared" si="14"/>
        <v>124139.25844167052</v>
      </c>
    </row>
    <row r="301" spans="1:7" x14ac:dyDescent="0.25">
      <c r="A301">
        <v>298</v>
      </c>
      <c r="B301" s="4">
        <f>-PPMT('Owner Occupier'!$D$41/12,'FHA Amotization'!$A301,360,'Owner Occupier'!$D$40,0,0)</f>
        <v>1424.7159200609888</v>
      </c>
      <c r="C301" s="4">
        <f>-IPMT('Owner Occupier'!$D$41/12,'FHA Amotization'!$A301,360,'Owner Occupier'!$D$40,0,0)</f>
        <v>355.44408858340324</v>
      </c>
      <c r="D301" s="4">
        <f t="shared" si="12"/>
        <v>1780.1600086443921</v>
      </c>
      <c r="E301" s="3">
        <f t="shared" si="13"/>
        <v>98935.967915252986</v>
      </c>
      <c r="F301" s="4">
        <f>('Owner Occupier'!$H$24-'Owner Occupier'!$D$52)/('Owner Occupier'!$D$56-'Owner Occupier'!$D$52)*B301</f>
        <v>676.32895580926845</v>
      </c>
      <c r="G301" s="4">
        <f t="shared" si="14"/>
        <v>124815.58739747979</v>
      </c>
    </row>
    <row r="302" spans="1:7" x14ac:dyDescent="0.25">
      <c r="A302">
        <v>299</v>
      </c>
      <c r="B302" s="4">
        <f>-PPMT('Owner Occupier'!$D$41/12,'FHA Amotization'!$A302,360,'Owner Occupier'!$D$40,0,0)</f>
        <v>1429.7617889445385</v>
      </c>
      <c r="C302" s="4">
        <f>-IPMT('Owner Occupier'!$D$41/12,'FHA Amotization'!$A302,360,'Owner Occupier'!$D$40,0,0)</f>
        <v>350.39821969985394</v>
      </c>
      <c r="D302" s="4">
        <f t="shared" si="12"/>
        <v>1780.1600086443923</v>
      </c>
      <c r="E302" s="3">
        <f t="shared" si="13"/>
        <v>97506.206126308447</v>
      </c>
      <c r="F302" s="4">
        <f>('Owner Occupier'!$H$24-'Owner Occupier'!$D$52)/('Owner Occupier'!$D$56-'Owner Occupier'!$D$52)*B302</f>
        <v>678.72428752775977</v>
      </c>
      <c r="G302" s="4">
        <f t="shared" si="14"/>
        <v>125494.31168500755</v>
      </c>
    </row>
    <row r="303" spans="1:7" x14ac:dyDescent="0.25">
      <c r="A303">
        <v>300</v>
      </c>
      <c r="B303" s="4">
        <f>-PPMT('Owner Occupier'!$D$41/12,'FHA Amotization'!$A303,360,'Owner Occupier'!$D$40,0,0)</f>
        <v>1434.8255286137169</v>
      </c>
      <c r="C303" s="4">
        <f>-IPMT('Owner Occupier'!$D$41/12,'FHA Amotization'!$A303,360,'Owner Occupier'!$D$40,0,0)</f>
        <v>345.33448003067537</v>
      </c>
      <c r="D303" s="4">
        <f t="shared" si="12"/>
        <v>1780.1600086443923</v>
      </c>
      <c r="E303" s="3">
        <f t="shared" si="13"/>
        <v>96071.380597694733</v>
      </c>
      <c r="F303" s="4">
        <f>('Owner Occupier'!$H$24-'Owner Occupier'!$D$52)/('Owner Occupier'!$D$56-'Owner Occupier'!$D$52)*B303</f>
        <v>681.12810271275384</v>
      </c>
      <c r="G303" s="4">
        <f t="shared" si="14"/>
        <v>126175.4397877203</v>
      </c>
    </row>
    <row r="304" spans="1:7" x14ac:dyDescent="0.25">
      <c r="A304">
        <v>301</v>
      </c>
      <c r="B304" s="4">
        <f>-PPMT('Owner Occupier'!$D$41/12,'FHA Amotization'!$A304,360,'Owner Occupier'!$D$40,0,0)</f>
        <v>1439.9072023608906</v>
      </c>
      <c r="C304" s="4">
        <f>-IPMT('Owner Occupier'!$D$41/12,'FHA Amotization'!$A304,360,'Owner Occupier'!$D$40,0,0)</f>
        <v>340.25280628350174</v>
      </c>
      <c r="D304" s="4">
        <f t="shared" si="12"/>
        <v>1780.1600086443923</v>
      </c>
      <c r="E304" s="3">
        <f t="shared" si="13"/>
        <v>94631.473395333844</v>
      </c>
      <c r="F304" s="4">
        <f>('Owner Occupier'!$H$24-'Owner Occupier'!$D$52)/('Owner Occupier'!$D$56-'Owner Occupier'!$D$52)*B304</f>
        <v>683.54043140986164</v>
      </c>
      <c r="G304" s="4">
        <f t="shared" si="14"/>
        <v>126858.98021913016</v>
      </c>
    </row>
    <row r="305" spans="1:7" x14ac:dyDescent="0.25">
      <c r="A305">
        <v>302</v>
      </c>
      <c r="B305" s="4">
        <f>-PPMT('Owner Occupier'!$D$41/12,'FHA Amotization'!$A305,360,'Owner Occupier'!$D$40,0,0)</f>
        <v>1445.0068737025852</v>
      </c>
      <c r="C305" s="4">
        <f>-IPMT('Owner Occupier'!$D$41/12,'FHA Amotization'!$A305,360,'Owner Occupier'!$D$40,0,0)</f>
        <v>335.15313494180697</v>
      </c>
      <c r="D305" s="4">
        <f t="shared" si="12"/>
        <v>1780.1600086443921</v>
      </c>
      <c r="E305" s="3">
        <f t="shared" si="13"/>
        <v>93186.466521631257</v>
      </c>
      <c r="F305" s="4">
        <f>('Owner Occupier'!$H$24-'Owner Occupier'!$D$52)/('Owner Occupier'!$D$56-'Owner Occupier'!$D$52)*B305</f>
        <v>685.96130377110478</v>
      </c>
      <c r="G305" s="4">
        <f t="shared" si="14"/>
        <v>127544.94152290127</v>
      </c>
    </row>
    <row r="306" spans="1:7" x14ac:dyDescent="0.25">
      <c r="A306">
        <v>303</v>
      </c>
      <c r="B306" s="4">
        <f>-PPMT('Owner Occupier'!$D$41/12,'FHA Amotization'!$A306,360,'Owner Occupier'!$D$40,0,0)</f>
        <v>1450.1246063802821</v>
      </c>
      <c r="C306" s="4">
        <f>-IPMT('Owner Occupier'!$D$41/12,'FHA Amotization'!$A306,360,'Owner Occupier'!$D$40,0,0)</f>
        <v>330.03540226411025</v>
      </c>
      <c r="D306" s="4">
        <f t="shared" si="12"/>
        <v>1780.1600086443923</v>
      </c>
      <c r="E306" s="3">
        <f t="shared" si="13"/>
        <v>91736.341915250974</v>
      </c>
      <c r="F306" s="4">
        <f>('Owner Occupier'!$H$24-'Owner Occupier'!$D$52)/('Owner Occupier'!$D$56-'Owner Occupier'!$D$52)*B306</f>
        <v>688.39075005529423</v>
      </c>
      <c r="G306" s="4">
        <f t="shared" si="14"/>
        <v>128233.33227295656</v>
      </c>
    </row>
    <row r="307" spans="1:7" x14ac:dyDescent="0.25">
      <c r="A307">
        <v>304</v>
      </c>
      <c r="B307" s="4">
        <f>-PPMT('Owner Occupier'!$D$41/12,'FHA Amotization'!$A307,360,'Owner Occupier'!$D$40,0,0)</f>
        <v>1455.2604643612121</v>
      </c>
      <c r="C307" s="4">
        <f>-IPMT('Owner Occupier'!$D$41/12,'FHA Amotization'!$A307,360,'Owner Occupier'!$D$40,0,0)</f>
        <v>324.89954428318015</v>
      </c>
      <c r="D307" s="4">
        <f t="shared" si="12"/>
        <v>1780.1600086443923</v>
      </c>
      <c r="E307" s="3">
        <f t="shared" si="13"/>
        <v>90281.08145088976</v>
      </c>
      <c r="F307" s="4">
        <f>('Owner Occupier'!$H$24-'Owner Occupier'!$D$52)/('Owner Occupier'!$D$56-'Owner Occupier'!$D$52)*B307</f>
        <v>690.82880062840661</v>
      </c>
      <c r="G307" s="4">
        <f t="shared" si="14"/>
        <v>128924.16107358497</v>
      </c>
    </row>
    <row r="308" spans="1:7" x14ac:dyDescent="0.25">
      <c r="A308">
        <v>305</v>
      </c>
      <c r="B308" s="4">
        <f>-PPMT('Owner Occupier'!$D$41/12,'FHA Amotization'!$A308,360,'Owner Occupier'!$D$40,0,0)</f>
        <v>1460.4145118391582</v>
      </c>
      <c r="C308" s="4">
        <f>-IPMT('Owner Occupier'!$D$41/12,'FHA Amotization'!$A308,360,'Owner Occupier'!$D$40,0,0)</f>
        <v>319.74549680523415</v>
      </c>
      <c r="D308" s="4">
        <f t="shared" si="12"/>
        <v>1780.1600086443923</v>
      </c>
      <c r="E308" s="3">
        <f t="shared" si="13"/>
        <v>88820.666939050599</v>
      </c>
      <c r="F308" s="4">
        <f>('Owner Occupier'!$H$24-'Owner Occupier'!$D$52)/('Owner Occupier'!$D$56-'Owner Occupier'!$D$52)*B308</f>
        <v>693.27548596396571</v>
      </c>
      <c r="G308" s="4">
        <f t="shared" si="14"/>
        <v>129617.43655954894</v>
      </c>
    </row>
    <row r="309" spans="1:7" x14ac:dyDescent="0.25">
      <c r="A309">
        <v>306</v>
      </c>
      <c r="B309" s="4">
        <f>-PPMT('Owner Occupier'!$D$41/12,'FHA Amotization'!$A309,360,'Owner Occupier'!$D$40,0,0)</f>
        <v>1465.586813235255</v>
      </c>
      <c r="C309" s="4">
        <f>-IPMT('Owner Occupier'!$D$41/12,'FHA Amotization'!$A309,360,'Owner Occupier'!$D$40,0,0)</f>
        <v>314.5731954091371</v>
      </c>
      <c r="D309" s="4">
        <f t="shared" si="12"/>
        <v>1780.1600086443921</v>
      </c>
      <c r="E309" s="3">
        <f t="shared" si="13"/>
        <v>87355.080125815351</v>
      </c>
      <c r="F309" s="4">
        <f>('Owner Occupier'!$H$24-'Owner Occupier'!$D$52)/('Owner Occupier'!$D$56-'Owner Occupier'!$D$52)*B309</f>
        <v>695.7308366434213</v>
      </c>
      <c r="G309" s="4">
        <f t="shared" si="14"/>
        <v>130313.16739619235</v>
      </c>
    </row>
    <row r="310" spans="1:7" x14ac:dyDescent="0.25">
      <c r="A310">
        <v>307</v>
      </c>
      <c r="B310" s="4">
        <f>-PPMT('Owner Occupier'!$D$41/12,'FHA Amotization'!$A310,360,'Owner Occupier'!$D$40,0,0)</f>
        <v>1470.7774331987966</v>
      </c>
      <c r="C310" s="4">
        <f>-IPMT('Owner Occupier'!$D$41/12,'FHA Amotization'!$A310,360,'Owner Occupier'!$D$40,0,0)</f>
        <v>309.38257544559559</v>
      </c>
      <c r="D310" s="4">
        <f t="shared" si="12"/>
        <v>1780.1600086443923</v>
      </c>
      <c r="E310" s="3">
        <f t="shared" si="13"/>
        <v>85884.302692616562</v>
      </c>
      <c r="F310" s="4">
        <f>('Owner Occupier'!$H$24-'Owner Occupier'!$D$52)/('Owner Occupier'!$D$56-'Owner Occupier'!$D$52)*B310</f>
        <v>698.19488335653341</v>
      </c>
      <c r="G310" s="4">
        <f t="shared" si="14"/>
        <v>131011.36227954889</v>
      </c>
    </row>
    <row r="311" spans="1:7" x14ac:dyDescent="0.25">
      <c r="A311">
        <v>308</v>
      </c>
      <c r="B311" s="4">
        <f>-PPMT('Owner Occupier'!$D$41/12,'FHA Amotization'!$A311,360,'Owner Occupier'!$D$40,0,0)</f>
        <v>1475.9864366080424</v>
      </c>
      <c r="C311" s="4">
        <f>-IPMT('Owner Occupier'!$D$41/12,'FHA Amotization'!$A311,360,'Owner Occupier'!$D$40,0,0)</f>
        <v>304.17357203634981</v>
      </c>
      <c r="D311" s="4">
        <f t="shared" si="12"/>
        <v>1780.1600086443923</v>
      </c>
      <c r="E311" s="3">
        <f t="shared" si="13"/>
        <v>84408.316256008518</v>
      </c>
      <c r="F311" s="4">
        <f>('Owner Occupier'!$H$24-'Owner Occupier'!$D$52)/('Owner Occupier'!$D$56-'Owner Occupier'!$D$52)*B311</f>
        <v>700.66765690175453</v>
      </c>
      <c r="G311" s="4">
        <f t="shared" si="14"/>
        <v>131712.02993645065</v>
      </c>
    </row>
    <row r="312" spans="1:7" x14ac:dyDescent="0.25">
      <c r="A312">
        <v>309</v>
      </c>
      <c r="B312" s="4">
        <f>-PPMT('Owner Occupier'!$D$41/12,'FHA Amotization'!$A312,360,'Owner Occupier'!$D$40,0,0)</f>
        <v>1481.2138885710294</v>
      </c>
      <c r="C312" s="4">
        <f>-IPMT('Owner Occupier'!$D$41/12,'FHA Amotization'!$A312,360,'Owner Occupier'!$D$40,0,0)</f>
        <v>298.94612007336303</v>
      </c>
      <c r="D312" s="4">
        <f t="shared" si="12"/>
        <v>1780.1600086443925</v>
      </c>
      <c r="E312" s="3">
        <f t="shared" si="13"/>
        <v>82927.102367437488</v>
      </c>
      <c r="F312" s="4">
        <f>('Owner Occupier'!$H$24-'Owner Occupier'!$D$52)/('Owner Occupier'!$D$56-'Owner Occupier'!$D$52)*B312</f>
        <v>703.14918818661499</v>
      </c>
      <c r="G312" s="4">
        <f t="shared" si="14"/>
        <v>132415.17912463727</v>
      </c>
    </row>
    <row r="313" spans="1:7" x14ac:dyDescent="0.25">
      <c r="A313">
        <v>310</v>
      </c>
      <c r="B313" s="4">
        <f>-PPMT('Owner Occupier'!$D$41/12,'FHA Amotization'!$A313,360,'Owner Occupier'!$D$40,0,0)</f>
        <v>1486.4598544263849</v>
      </c>
      <c r="C313" s="4">
        <f>-IPMT('Owner Occupier'!$D$41/12,'FHA Amotization'!$A313,360,'Owner Occupier'!$D$40,0,0)</f>
        <v>293.7001542180073</v>
      </c>
      <c r="D313" s="4">
        <f t="shared" si="12"/>
        <v>1780.1600086443923</v>
      </c>
      <c r="E313" s="3">
        <f t="shared" si="13"/>
        <v>81440.642513011102</v>
      </c>
      <c r="F313" s="4">
        <f>('Owner Occupier'!$H$24-'Owner Occupier'!$D$52)/('Owner Occupier'!$D$56-'Owner Occupier'!$D$52)*B313</f>
        <v>705.63950822810909</v>
      </c>
      <c r="G313" s="4">
        <f t="shared" si="14"/>
        <v>133120.81863286538</v>
      </c>
    </row>
    <row r="314" spans="1:7" x14ac:dyDescent="0.25">
      <c r="A314">
        <v>311</v>
      </c>
      <c r="B314" s="4">
        <f>-PPMT('Owner Occupier'!$D$41/12,'FHA Amotization'!$A314,360,'Owner Occupier'!$D$40,0,0)</f>
        <v>1491.7243997441449</v>
      </c>
      <c r="C314" s="4">
        <f>-IPMT('Owner Occupier'!$D$41/12,'FHA Amotization'!$A314,360,'Owner Occupier'!$D$40,0,0)</f>
        <v>288.43560890024713</v>
      </c>
      <c r="D314" s="4">
        <f t="shared" si="12"/>
        <v>1780.1600086443921</v>
      </c>
      <c r="E314" s="3">
        <f t="shared" si="13"/>
        <v>79948.918113266962</v>
      </c>
      <c r="F314" s="4">
        <f>('Owner Occupier'!$H$24-'Owner Occupier'!$D$52)/('Owner Occupier'!$D$56-'Owner Occupier'!$D$52)*B314</f>
        <v>708.13864815308364</v>
      </c>
      <c r="G314" s="4">
        <f t="shared" si="14"/>
        <v>133828.95728101846</v>
      </c>
    </row>
    <row r="315" spans="1:7" x14ac:dyDescent="0.25">
      <c r="A315">
        <v>312</v>
      </c>
      <c r="B315" s="4">
        <f>-PPMT('Owner Occupier'!$D$41/12,'FHA Amotization'!$A315,360,'Owner Occupier'!$D$40,0,0)</f>
        <v>1497.0075903265722</v>
      </c>
      <c r="C315" s="4">
        <f>-IPMT('Owner Occupier'!$D$41/12,'FHA Amotization'!$A315,360,'Owner Occupier'!$D$40,0,0)</f>
        <v>283.15241831781998</v>
      </c>
      <c r="D315" s="4">
        <f t="shared" si="12"/>
        <v>1780.1600086443923</v>
      </c>
      <c r="E315" s="3">
        <f t="shared" si="13"/>
        <v>78451.910522940394</v>
      </c>
      <c r="F315" s="4">
        <f>('Owner Occupier'!$H$24-'Owner Occupier'!$D$52)/('Owner Occupier'!$D$56-'Owner Occupier'!$D$52)*B315</f>
        <v>710.64663919862585</v>
      </c>
      <c r="G315" s="4">
        <f t="shared" si="14"/>
        <v>134539.60392021708</v>
      </c>
    </row>
    <row r="316" spans="1:7" x14ac:dyDescent="0.25">
      <c r="A316">
        <v>313</v>
      </c>
      <c r="B316" s="4">
        <f>-PPMT('Owner Occupier'!$D$41/12,'FHA Amotization'!$A316,360,'Owner Occupier'!$D$40,0,0)</f>
        <v>1502.309492208979</v>
      </c>
      <c r="C316" s="4">
        <f>-IPMT('Owner Occupier'!$D$41/12,'FHA Amotization'!$A316,360,'Owner Occupier'!$D$40,0,0)</f>
        <v>277.8505164354134</v>
      </c>
      <c r="D316" s="4">
        <f t="shared" si="12"/>
        <v>1780.1600086443923</v>
      </c>
      <c r="E316" s="3">
        <f t="shared" si="13"/>
        <v>76949.601030731414</v>
      </c>
      <c r="F316" s="4">
        <f>('Owner Occupier'!$H$24-'Owner Occupier'!$D$52)/('Owner Occupier'!$D$56-'Owner Occupier'!$D$52)*B316</f>
        <v>713.16351271245446</v>
      </c>
      <c r="G316" s="4">
        <f t="shared" si="14"/>
        <v>135252.76743292954</v>
      </c>
    </row>
    <row r="317" spans="1:7" x14ac:dyDescent="0.25">
      <c r="A317">
        <v>314</v>
      </c>
      <c r="B317" s="4">
        <f>-PPMT('Owner Occupier'!$D$41/12,'FHA Amotization'!$A317,360,'Owner Occupier'!$D$40,0,0)</f>
        <v>1507.6301716605524</v>
      </c>
      <c r="C317" s="4">
        <f>-IPMT('Owner Occupier'!$D$41/12,'FHA Amotization'!$A317,360,'Owner Occupier'!$D$40,0,0)</f>
        <v>272.52983698383991</v>
      </c>
      <c r="D317" s="4">
        <f t="shared" si="12"/>
        <v>1780.1600086443923</v>
      </c>
      <c r="E317" s="3">
        <f t="shared" si="13"/>
        <v>75441.970859070861</v>
      </c>
      <c r="F317" s="4">
        <f>('Owner Occupier'!$H$24-'Owner Occupier'!$D$52)/('Owner Occupier'!$D$56-'Owner Occupier'!$D$52)*B317</f>
        <v>715.68930015331102</v>
      </c>
      <c r="G317" s="4">
        <f t="shared" si="14"/>
        <v>135968.45673308286</v>
      </c>
    </row>
    <row r="318" spans="1:7" x14ac:dyDescent="0.25">
      <c r="A318">
        <v>315</v>
      </c>
      <c r="B318" s="4">
        <f>-PPMT('Owner Occupier'!$D$41/12,'FHA Amotization'!$A318,360,'Owner Occupier'!$D$40,0,0)</f>
        <v>1512.9696951851834</v>
      </c>
      <c r="C318" s="4">
        <f>-IPMT('Owner Occupier'!$D$41/12,'FHA Amotization'!$A318,360,'Owner Occupier'!$D$40,0,0)</f>
        <v>267.19031345920882</v>
      </c>
      <c r="D318" s="4">
        <f t="shared" si="12"/>
        <v>1780.1600086443923</v>
      </c>
      <c r="E318" s="3">
        <f t="shared" si="13"/>
        <v>73929.001163885681</v>
      </c>
      <c r="F318" s="4">
        <f>('Owner Occupier'!$H$24-'Owner Occupier'!$D$52)/('Owner Occupier'!$D$56-'Owner Occupier'!$D$52)*B318</f>
        <v>718.22403309135393</v>
      </c>
      <c r="G318" s="4">
        <f t="shared" si="14"/>
        <v>136686.68076617422</v>
      </c>
    </row>
    <row r="319" spans="1:7" x14ac:dyDescent="0.25">
      <c r="A319">
        <v>316</v>
      </c>
      <c r="B319" s="4">
        <f>-PPMT('Owner Occupier'!$D$41/12,'FHA Amotization'!$A319,360,'Owner Occupier'!$D$40,0,0)</f>
        <v>1518.3281295222976</v>
      </c>
      <c r="C319" s="4">
        <f>-IPMT('Owner Occupier'!$D$41/12,'FHA Amotization'!$A319,360,'Owner Occupier'!$D$40,0,0)</f>
        <v>261.83187912209456</v>
      </c>
      <c r="D319" s="4">
        <f t="shared" si="12"/>
        <v>1780.1600086443921</v>
      </c>
      <c r="E319" s="3">
        <f t="shared" si="13"/>
        <v>72410.673034363383</v>
      </c>
      <c r="F319" s="4">
        <f>('Owner Occupier'!$H$24-'Owner Occupier'!$D$52)/('Owner Occupier'!$D$56-'Owner Occupier'!$D$52)*B319</f>
        <v>720.76774320855247</v>
      </c>
      <c r="G319" s="4">
        <f t="shared" si="14"/>
        <v>137407.44850938278</v>
      </c>
    </row>
    <row r="320" spans="1:7" x14ac:dyDescent="0.25">
      <c r="A320">
        <v>317</v>
      </c>
      <c r="B320" s="4">
        <f>-PPMT('Owner Occupier'!$D$41/12,'FHA Amotization'!$A320,360,'Owner Occupier'!$D$40,0,0)</f>
        <v>1523.705541647689</v>
      </c>
      <c r="C320" s="4">
        <f>-IPMT('Owner Occupier'!$D$41/12,'FHA Amotization'!$A320,360,'Owner Occupier'!$D$40,0,0)</f>
        <v>256.45446699670316</v>
      </c>
      <c r="D320" s="4">
        <f t="shared" si="12"/>
        <v>1780.1600086443921</v>
      </c>
      <c r="E320" s="3">
        <f t="shared" si="13"/>
        <v>70886.967492715688</v>
      </c>
      <c r="F320" s="4">
        <f>('Owner Occupier'!$H$24-'Owner Occupier'!$D$52)/('Owner Occupier'!$D$56-'Owner Occupier'!$D$52)*B320</f>
        <v>723.32046229908269</v>
      </c>
      <c r="G320" s="4">
        <f t="shared" si="14"/>
        <v>138130.76897168186</v>
      </c>
    </row>
    <row r="321" spans="1:7" x14ac:dyDescent="0.25">
      <c r="A321">
        <v>318</v>
      </c>
      <c r="B321" s="4">
        <f>-PPMT('Owner Occupier'!$D$41/12,'FHA Amotization'!$A321,360,'Owner Occupier'!$D$40,0,0)</f>
        <v>1529.1019987743582</v>
      </c>
      <c r="C321" s="4">
        <f>-IPMT('Owner Occupier'!$D$41/12,'FHA Amotization'!$A321,360,'Owner Occupier'!$D$40,0,0)</f>
        <v>251.05800987003423</v>
      </c>
      <c r="D321" s="4">
        <f t="shared" si="12"/>
        <v>1780.1600086443925</v>
      </c>
      <c r="E321" s="3">
        <f t="shared" si="13"/>
        <v>69357.865493941325</v>
      </c>
      <c r="F321" s="4">
        <f>('Owner Occupier'!$H$24-'Owner Occupier'!$D$52)/('Owner Occupier'!$D$56-'Owner Occupier'!$D$52)*B321</f>
        <v>725.88222226972539</v>
      </c>
      <c r="G321" s="4">
        <f t="shared" si="14"/>
        <v>138856.65119395158</v>
      </c>
    </row>
    <row r="322" spans="1:7" x14ac:dyDescent="0.25">
      <c r="A322">
        <v>319</v>
      </c>
      <c r="B322" s="4">
        <f>-PPMT('Owner Occupier'!$D$41/12,'FHA Amotization'!$A322,360,'Owner Occupier'!$D$40,0,0)</f>
        <v>1534.5175683533505</v>
      </c>
      <c r="C322" s="4">
        <f>-IPMT('Owner Occupier'!$D$41/12,'FHA Amotization'!$A322,360,'Owner Occupier'!$D$40,0,0)</f>
        <v>245.64244029104168</v>
      </c>
      <c r="D322" s="4">
        <f t="shared" si="12"/>
        <v>1780.1600086443923</v>
      </c>
      <c r="E322" s="3">
        <f t="shared" si="13"/>
        <v>67823.347925587979</v>
      </c>
      <c r="F322" s="4">
        <f>('Owner Occupier'!$H$24-'Owner Occupier'!$D$52)/('Owner Occupier'!$D$56-'Owner Occupier'!$D$52)*B322</f>
        <v>728.45305514026393</v>
      </c>
      <c r="G322" s="4">
        <f t="shared" si="14"/>
        <v>139585.10424909185</v>
      </c>
    </row>
    <row r="323" spans="1:7" x14ac:dyDescent="0.25">
      <c r="A323">
        <v>320</v>
      </c>
      <c r="B323" s="4">
        <f>-PPMT('Owner Occupier'!$D$41/12,'FHA Amotization'!$A323,360,'Owner Occupier'!$D$40,0,0)</f>
        <v>1539.9523180746019</v>
      </c>
      <c r="C323" s="4">
        <f>-IPMT('Owner Occupier'!$D$41/12,'FHA Amotization'!$A323,360,'Owner Occupier'!$D$40,0,0)</f>
        <v>240.20769056979026</v>
      </c>
      <c r="D323" s="4">
        <f t="shared" si="12"/>
        <v>1780.1600086443921</v>
      </c>
      <c r="E323" s="3">
        <f t="shared" si="13"/>
        <v>66283.395607513376</v>
      </c>
      <c r="F323" s="4">
        <f>('Owner Occupier'!$H$24-'Owner Occupier'!$D$52)/('Owner Occupier'!$D$56-'Owner Occupier'!$D$52)*B323</f>
        <v>731.03299304388565</v>
      </c>
      <c r="G323" s="4">
        <f t="shared" si="14"/>
        <v>140316.13724213574</v>
      </c>
    </row>
    <row r="324" spans="1:7" x14ac:dyDescent="0.25">
      <c r="A324">
        <v>321</v>
      </c>
      <c r="B324" s="4">
        <f>-PPMT('Owner Occupier'!$D$41/12,'FHA Amotization'!$A324,360,'Owner Occupier'!$D$40,0,0)</f>
        <v>1545.4063158677827</v>
      </c>
      <c r="C324" s="4">
        <f>-IPMT('Owner Occupier'!$D$41/12,'FHA Amotization'!$A324,360,'Owner Occupier'!$D$40,0,0)</f>
        <v>234.75369277660937</v>
      </c>
      <c r="D324" s="4">
        <f t="shared" si="12"/>
        <v>1780.1600086443921</v>
      </c>
      <c r="E324" s="3">
        <f t="shared" si="13"/>
        <v>64737.989291645594</v>
      </c>
      <c r="F324" s="4">
        <f>('Owner Occupier'!$H$24-'Owner Occupier'!$D$52)/('Owner Occupier'!$D$56-'Owner Occupier'!$D$52)*B324</f>
        <v>733.62206822758276</v>
      </c>
      <c r="G324" s="4">
        <f t="shared" si="14"/>
        <v>141049.75931036333</v>
      </c>
    </row>
    <row r="325" spans="1:7" x14ac:dyDescent="0.25">
      <c r="A325">
        <v>322</v>
      </c>
      <c r="B325" s="4">
        <f>-PPMT('Owner Occupier'!$D$41/12,'FHA Amotization'!$A325,360,'Owner Occupier'!$D$40,0,0)</f>
        <v>1550.8796299031478</v>
      </c>
      <c r="C325" s="4">
        <f>-IPMT('Owner Occupier'!$D$41/12,'FHA Amotization'!$A325,360,'Owner Occupier'!$D$40,0,0)</f>
        <v>229.28037874124433</v>
      </c>
      <c r="D325" s="4">
        <f t="shared" ref="D325:D363" si="15">B325+C325</f>
        <v>1780.1600086443921</v>
      </c>
      <c r="E325" s="3">
        <f t="shared" si="13"/>
        <v>63187.109661742448</v>
      </c>
      <c r="F325" s="4">
        <f>('Owner Occupier'!$H$24-'Owner Occupier'!$D$52)/('Owner Occupier'!$D$56-'Owner Occupier'!$D$52)*B325</f>
        <v>736.22031305255541</v>
      </c>
      <c r="G325" s="4">
        <f t="shared" si="14"/>
        <v>141785.97962341589</v>
      </c>
    </row>
    <row r="326" spans="1:7" x14ac:dyDescent="0.25">
      <c r="A326">
        <v>323</v>
      </c>
      <c r="B326" s="4">
        <f>-PPMT('Owner Occupier'!$D$41/12,'FHA Amotization'!$A326,360,'Owner Occupier'!$D$40,0,0)</f>
        <v>1556.3723285923884</v>
      </c>
      <c r="C326" s="4">
        <f>-IPMT('Owner Occupier'!$D$41/12,'FHA Amotization'!$A326,360,'Owner Occupier'!$D$40,0,0)</f>
        <v>223.78768005200402</v>
      </c>
      <c r="D326" s="4">
        <f t="shared" si="15"/>
        <v>1780.1600086443923</v>
      </c>
      <c r="E326" s="3">
        <f t="shared" ref="E326:E363" si="16">E325-B326</f>
        <v>61630.737333150057</v>
      </c>
      <c r="F326" s="4">
        <f>('Owner Occupier'!$H$24-'Owner Occupier'!$D$52)/('Owner Occupier'!$D$56-'Owner Occupier'!$D$52)*B326</f>
        <v>738.82775999461671</v>
      </c>
      <c r="G326" s="4">
        <f t="shared" ref="G326:G363" si="17">F326+G325</f>
        <v>142524.80738341052</v>
      </c>
    </row>
    <row r="327" spans="1:7" x14ac:dyDescent="0.25">
      <c r="A327">
        <v>324</v>
      </c>
      <c r="B327" s="4">
        <f>-PPMT('Owner Occupier'!$D$41/12,'FHA Amotization'!$A327,360,'Owner Occupier'!$D$40,0,0)</f>
        <v>1561.8844805894862</v>
      </c>
      <c r="C327" s="4">
        <f>-IPMT('Owner Occupier'!$D$41/12,'FHA Amotization'!$A327,360,'Owner Occupier'!$D$40,0,0)</f>
        <v>218.27552805490598</v>
      </c>
      <c r="D327" s="4">
        <f t="shared" si="15"/>
        <v>1780.1600086443923</v>
      </c>
      <c r="E327" s="3">
        <f t="shared" si="16"/>
        <v>60068.852852560573</v>
      </c>
      <c r="F327" s="4">
        <f>('Owner Occupier'!$H$24-'Owner Occupier'!$D$52)/('Owner Occupier'!$D$56-'Owner Occupier'!$D$52)*B327</f>
        <v>741.44444164459753</v>
      </c>
      <c r="G327" s="4">
        <f t="shared" si="17"/>
        <v>143266.25182505511</v>
      </c>
    </row>
    <row r="328" spans="1:7" x14ac:dyDescent="0.25">
      <c r="A328">
        <v>325</v>
      </c>
      <c r="B328" s="4">
        <f>-PPMT('Owner Occupier'!$D$41/12,'FHA Amotization'!$A328,360,'Owner Occupier'!$D$40,0,0)</f>
        <v>1567.4161547915742</v>
      </c>
      <c r="C328" s="4">
        <f>-IPMT('Owner Occupier'!$D$41/12,'FHA Amotization'!$A328,360,'Owner Occupier'!$D$40,0,0)</f>
        <v>212.74385385281823</v>
      </c>
      <c r="D328" s="4">
        <f t="shared" si="15"/>
        <v>1780.1600086443923</v>
      </c>
      <c r="E328" s="3">
        <f t="shared" si="16"/>
        <v>58501.436697769001</v>
      </c>
      <c r="F328" s="4">
        <f>('Owner Occupier'!$H$24-'Owner Occupier'!$D$52)/('Owner Occupier'!$D$56-'Owner Occupier'!$D$52)*B328</f>
        <v>744.07039070875555</v>
      </c>
      <c r="G328" s="4">
        <f t="shared" si="17"/>
        <v>144010.32221576385</v>
      </c>
    </row>
    <row r="329" spans="1:7" x14ac:dyDescent="0.25">
      <c r="A329">
        <v>326</v>
      </c>
      <c r="B329" s="4">
        <f>-PPMT('Owner Occupier'!$D$41/12,'FHA Amotization'!$A329,360,'Owner Occupier'!$D$40,0,0)</f>
        <v>1572.9674203397942</v>
      </c>
      <c r="C329" s="4">
        <f>-IPMT('Owner Occupier'!$D$41/12,'FHA Amotization'!$A329,360,'Owner Occupier'!$D$40,0,0)</f>
        <v>207.19258830459802</v>
      </c>
      <c r="D329" s="4">
        <f t="shared" si="15"/>
        <v>1780.1600086443923</v>
      </c>
      <c r="E329" s="3">
        <f t="shared" si="16"/>
        <v>56928.469277429205</v>
      </c>
      <c r="F329" s="4">
        <f>('Owner Occupier'!$H$24-'Owner Occupier'!$D$52)/('Owner Occupier'!$D$56-'Owner Occupier'!$D$52)*B329</f>
        <v>746.70564000918239</v>
      </c>
      <c r="G329" s="4">
        <f t="shared" si="17"/>
        <v>144757.02785577305</v>
      </c>
    </row>
    <row r="330" spans="1:7" x14ac:dyDescent="0.25">
      <c r="A330">
        <v>327</v>
      </c>
      <c r="B330" s="4">
        <f>-PPMT('Owner Occupier'!$D$41/12,'FHA Amotization'!$A330,360,'Owner Occupier'!$D$40,0,0)</f>
        <v>1578.5383466201642</v>
      </c>
      <c r="C330" s="4">
        <f>-IPMT('Owner Occupier'!$D$41/12,'FHA Amotization'!$A330,360,'Owner Occupier'!$D$40,0,0)</f>
        <v>201.62166202422793</v>
      </c>
      <c r="D330" s="4">
        <f t="shared" si="15"/>
        <v>1780.1600086443923</v>
      </c>
      <c r="E330" s="3">
        <f t="shared" si="16"/>
        <v>55349.930930809038</v>
      </c>
      <c r="F330" s="4">
        <f>('Owner Occupier'!$H$24-'Owner Occupier'!$D$52)/('Owner Occupier'!$D$56-'Owner Occupier'!$D$52)*B330</f>
        <v>749.3502224842149</v>
      </c>
      <c r="G330" s="4">
        <f t="shared" si="17"/>
        <v>145506.37807825726</v>
      </c>
    </row>
    <row r="331" spans="1:7" x14ac:dyDescent="0.25">
      <c r="A331">
        <v>328</v>
      </c>
      <c r="B331" s="4">
        <f>-PPMT('Owner Occupier'!$D$41/12,'FHA Amotization'!$A331,360,'Owner Occupier'!$D$40,0,0)</f>
        <v>1584.129003264444</v>
      </c>
      <c r="C331" s="4">
        <f>-IPMT('Owner Occupier'!$D$41/12,'FHA Amotization'!$A331,360,'Owner Occupier'!$D$40,0,0)</f>
        <v>196.0310053799482</v>
      </c>
      <c r="D331" s="4">
        <f t="shared" si="15"/>
        <v>1780.1600086443923</v>
      </c>
      <c r="E331" s="3">
        <f t="shared" si="16"/>
        <v>53765.801927544591</v>
      </c>
      <c r="F331" s="4">
        <f>('Owner Occupier'!$H$24-'Owner Occupier'!$D$52)/('Owner Occupier'!$D$56-'Owner Occupier'!$D$52)*B331</f>
        <v>752.0041711888465</v>
      </c>
      <c r="G331" s="4">
        <f t="shared" si="17"/>
        <v>146258.38224944609</v>
      </c>
    </row>
    <row r="332" spans="1:7" x14ac:dyDescent="0.25">
      <c r="A332">
        <v>329</v>
      </c>
      <c r="B332" s="4">
        <f>-PPMT('Owner Occupier'!$D$41/12,'FHA Amotization'!$A332,360,'Owner Occupier'!$D$40,0,0)</f>
        <v>1589.7394601510055</v>
      </c>
      <c r="C332" s="4">
        <f>-IPMT('Owner Occupier'!$D$41/12,'FHA Amotization'!$A332,360,'Owner Occupier'!$D$40,0,0)</f>
        <v>190.4205484933866</v>
      </c>
      <c r="D332" s="4">
        <f t="shared" si="15"/>
        <v>1780.1600086443921</v>
      </c>
      <c r="E332" s="3">
        <f t="shared" si="16"/>
        <v>52176.062467393589</v>
      </c>
      <c r="F332" s="4">
        <f>('Owner Occupier'!$H$24-'Owner Occupier'!$D$52)/('Owner Occupier'!$D$56-'Owner Occupier'!$D$52)*B332</f>
        <v>754.66751929514021</v>
      </c>
      <c r="G332" s="4">
        <f t="shared" si="17"/>
        <v>147013.04976874124</v>
      </c>
    </row>
    <row r="333" spans="1:7" x14ac:dyDescent="0.25">
      <c r="A333">
        <v>330</v>
      </c>
      <c r="B333" s="4">
        <f>-PPMT('Owner Occupier'!$D$41/12,'FHA Amotization'!$A333,360,'Owner Occupier'!$D$40,0,0)</f>
        <v>1595.369787405707</v>
      </c>
      <c r="C333" s="4">
        <f>-IPMT('Owner Occupier'!$D$41/12,'FHA Amotization'!$A333,360,'Owner Occupier'!$D$40,0,0)</f>
        <v>184.79022123868515</v>
      </c>
      <c r="D333" s="4">
        <f t="shared" si="15"/>
        <v>1780.1600086443923</v>
      </c>
      <c r="E333" s="3">
        <f t="shared" si="16"/>
        <v>50580.692679987886</v>
      </c>
      <c r="F333" s="4">
        <f>('Owner Occupier'!$H$24-'Owner Occupier'!$D$52)/('Owner Occupier'!$D$56-'Owner Occupier'!$D$52)*B333</f>
        <v>757.34030009264393</v>
      </c>
      <c r="G333" s="4">
        <f t="shared" si="17"/>
        <v>147770.39006883389</v>
      </c>
    </row>
    <row r="334" spans="1:7" x14ac:dyDescent="0.25">
      <c r="A334">
        <v>331</v>
      </c>
      <c r="B334" s="4">
        <f>-PPMT('Owner Occupier'!$D$41/12,'FHA Amotization'!$A334,360,'Owner Occupier'!$D$40,0,0)</f>
        <v>1601.020055402769</v>
      </c>
      <c r="C334" s="4">
        <f>-IPMT('Owner Occupier'!$D$41/12,'FHA Amotization'!$A334,360,'Owner Occupier'!$D$40,0,0)</f>
        <v>179.13995324162323</v>
      </c>
      <c r="D334" s="4">
        <f t="shared" si="15"/>
        <v>1780.1600086443923</v>
      </c>
      <c r="E334" s="3">
        <f t="shared" si="16"/>
        <v>48979.672624585117</v>
      </c>
      <c r="F334" s="4">
        <f>('Owner Occupier'!$H$24-'Owner Occupier'!$D$52)/('Owner Occupier'!$D$56-'Owner Occupier'!$D$52)*B334</f>
        <v>760.0225469888054</v>
      </c>
      <c r="G334" s="4">
        <f t="shared" si="17"/>
        <v>148530.41261582269</v>
      </c>
    </row>
    <row r="335" spans="1:7" x14ac:dyDescent="0.25">
      <c r="A335">
        <v>332</v>
      </c>
      <c r="B335" s="4">
        <f>-PPMT('Owner Occupier'!$D$41/12,'FHA Amotization'!$A335,360,'Owner Occupier'!$D$40,0,0)</f>
        <v>1606.6903347656537</v>
      </c>
      <c r="C335" s="4">
        <f>-IPMT('Owner Occupier'!$D$41/12,'FHA Amotization'!$A335,360,'Owner Occupier'!$D$40,0,0)</f>
        <v>173.46967387873846</v>
      </c>
      <c r="D335" s="4">
        <f t="shared" si="15"/>
        <v>1780.1600086443921</v>
      </c>
      <c r="E335" s="3">
        <f t="shared" si="16"/>
        <v>47372.982289819462</v>
      </c>
      <c r="F335" s="4">
        <f>('Owner Occupier'!$H$24-'Owner Occupier'!$D$52)/('Owner Occupier'!$D$56-'Owner Occupier'!$D$52)*B335</f>
        <v>762.7142935093907</v>
      </c>
      <c r="G335" s="4">
        <f t="shared" si="17"/>
        <v>149293.12690933209</v>
      </c>
    </row>
    <row r="336" spans="1:7" x14ac:dyDescent="0.25">
      <c r="A336">
        <v>333</v>
      </c>
      <c r="B336" s="4">
        <f>-PPMT('Owner Occupier'!$D$41/12,'FHA Amotization'!$A336,360,'Owner Occupier'!$D$40,0,0)</f>
        <v>1612.380696367949</v>
      </c>
      <c r="C336" s="4">
        <f>-IPMT('Owner Occupier'!$D$41/12,'FHA Amotization'!$A336,360,'Owner Occupier'!$D$40,0,0)</f>
        <v>167.77931227644342</v>
      </c>
      <c r="D336" s="4">
        <f t="shared" si="15"/>
        <v>1780.1600086443923</v>
      </c>
      <c r="E336" s="3">
        <f t="shared" si="16"/>
        <v>45760.601593451516</v>
      </c>
      <c r="F336" s="4">
        <f>('Owner Occupier'!$H$24-'Owner Occupier'!$D$52)/('Owner Occupier'!$D$56-'Owner Occupier'!$D$52)*B336</f>
        <v>765.41557329890327</v>
      </c>
      <c r="G336" s="4">
        <f t="shared" si="17"/>
        <v>150058.54248263099</v>
      </c>
    </row>
    <row r="337" spans="1:7" x14ac:dyDescent="0.25">
      <c r="A337">
        <v>334</v>
      </c>
      <c r="B337" s="4">
        <f>-PPMT('Owner Occupier'!$D$41/12,'FHA Amotization'!$A337,360,'Owner Occupier'!$D$40,0,0)</f>
        <v>1618.091211334252</v>
      </c>
      <c r="C337" s="4">
        <f>-IPMT('Owner Occupier'!$D$41/12,'FHA Amotization'!$A337,360,'Owner Occupier'!$D$40,0,0)</f>
        <v>162.0687973101403</v>
      </c>
      <c r="D337" s="4">
        <f t="shared" si="15"/>
        <v>1780.1600086443923</v>
      </c>
      <c r="E337" s="3">
        <f t="shared" si="16"/>
        <v>44142.510382117267</v>
      </c>
      <c r="F337" s="4">
        <f>('Owner Occupier'!$H$24-'Owner Occupier'!$D$52)/('Owner Occupier'!$D$56-'Owner Occupier'!$D$52)*B337</f>
        <v>768.12642012100343</v>
      </c>
      <c r="G337" s="4">
        <f t="shared" si="17"/>
        <v>150826.66890275199</v>
      </c>
    </row>
    <row r="338" spans="1:7" x14ac:dyDescent="0.25">
      <c r="A338">
        <v>335</v>
      </c>
      <c r="B338" s="4">
        <f>-PPMT('Owner Occupier'!$D$41/12,'FHA Amotization'!$A338,360,'Owner Occupier'!$D$40,0,0)</f>
        <v>1623.8219510410609</v>
      </c>
      <c r="C338" s="4">
        <f>-IPMT('Owner Occupier'!$D$41/12,'FHA Amotization'!$A338,360,'Owner Occupier'!$D$40,0,0)</f>
        <v>156.33805760333144</v>
      </c>
      <c r="D338" s="4">
        <f t="shared" si="15"/>
        <v>1780.1600086443923</v>
      </c>
      <c r="E338" s="3">
        <f t="shared" si="16"/>
        <v>42518.688431076203</v>
      </c>
      <c r="F338" s="4">
        <f>('Owner Occupier'!$H$24-'Owner Occupier'!$D$52)/('Owner Occupier'!$D$56-'Owner Occupier'!$D$52)*B338</f>
        <v>770.846867858932</v>
      </c>
      <c r="G338" s="4">
        <f t="shared" si="17"/>
        <v>151597.51577061092</v>
      </c>
    </row>
    <row r="339" spans="1:7" x14ac:dyDescent="0.25">
      <c r="A339">
        <v>336</v>
      </c>
      <c r="B339" s="4">
        <f>-PPMT('Owner Occupier'!$D$41/12,'FHA Amotization'!$A339,360,'Owner Occupier'!$D$40,0,0)</f>
        <v>1629.5729871176648</v>
      </c>
      <c r="C339" s="4">
        <f>-IPMT('Owner Occupier'!$D$41/12,'FHA Amotization'!$A339,360,'Owner Occupier'!$D$40,0,0)</f>
        <v>150.58702152672768</v>
      </c>
      <c r="D339" s="4">
        <f t="shared" si="15"/>
        <v>1780.1600086443925</v>
      </c>
      <c r="E339" s="3">
        <f t="shared" si="16"/>
        <v>40889.115443958537</v>
      </c>
      <c r="F339" s="4">
        <f>('Owner Occupier'!$H$24-'Owner Occupier'!$D$52)/('Owner Occupier'!$D$56-'Owner Occupier'!$D$52)*B339</f>
        <v>773.57695051593248</v>
      </c>
      <c r="G339" s="4">
        <f t="shared" si="17"/>
        <v>152371.09272112686</v>
      </c>
    </row>
    <row r="340" spans="1:7" x14ac:dyDescent="0.25">
      <c r="A340">
        <v>337</v>
      </c>
      <c r="B340" s="4">
        <f>-PPMT('Owner Occupier'!$D$41/12,'FHA Amotization'!$A340,360,'Owner Occupier'!$D$40,0,0)</f>
        <v>1635.3443914470397</v>
      </c>
      <c r="C340" s="4">
        <f>-IPMT('Owner Occupier'!$D$41/12,'FHA Amotization'!$A340,360,'Owner Occupier'!$D$40,0,0)</f>
        <v>144.81561719735262</v>
      </c>
      <c r="D340" s="4">
        <f t="shared" si="15"/>
        <v>1780.1600086443923</v>
      </c>
      <c r="E340" s="3">
        <f t="shared" si="16"/>
        <v>39253.771052511496</v>
      </c>
      <c r="F340" s="4">
        <f>('Owner Occupier'!$H$24-'Owner Occupier'!$D$52)/('Owner Occupier'!$D$56-'Owner Occupier'!$D$52)*B340</f>
        <v>776.3167022156764</v>
      </c>
      <c r="G340" s="4">
        <f t="shared" si="17"/>
        <v>153147.40942334253</v>
      </c>
    </row>
    <row r="341" spans="1:7" x14ac:dyDescent="0.25">
      <c r="A341">
        <v>338</v>
      </c>
      <c r="B341" s="4">
        <f>-PPMT('Owner Occupier'!$D$41/12,'FHA Amotization'!$A341,360,'Owner Occupier'!$D$40,0,0)</f>
        <v>1641.1362361667479</v>
      </c>
      <c r="C341" s="4">
        <f>-IPMT('Owner Occupier'!$D$41/12,'FHA Amotization'!$A341,360,'Owner Occupier'!$D$40,0,0)</f>
        <v>139.02377247764437</v>
      </c>
      <c r="D341" s="4">
        <f t="shared" si="15"/>
        <v>1780.1600086443923</v>
      </c>
      <c r="E341" s="3">
        <f t="shared" si="16"/>
        <v>37612.634816344747</v>
      </c>
      <c r="F341" s="4">
        <f>('Owner Occupier'!$H$24-'Owner Occupier'!$D$52)/('Owner Occupier'!$D$56-'Owner Occupier'!$D$52)*B341</f>
        <v>779.06615720269019</v>
      </c>
      <c r="G341" s="4">
        <f t="shared" si="17"/>
        <v>153926.47558054523</v>
      </c>
    </row>
    <row r="342" spans="1:7" x14ac:dyDescent="0.25">
      <c r="A342">
        <v>339</v>
      </c>
      <c r="B342" s="4">
        <f>-PPMT('Owner Occupier'!$D$41/12,'FHA Amotization'!$A342,360,'Owner Occupier'!$D$40,0,0)</f>
        <v>1646.9485936698384</v>
      </c>
      <c r="C342" s="4">
        <f>-IPMT('Owner Occupier'!$D$41/12,'FHA Amotization'!$A342,360,'Owner Occupier'!$D$40,0,0)</f>
        <v>133.2114149745538</v>
      </c>
      <c r="D342" s="4">
        <f t="shared" si="15"/>
        <v>1780.1600086443923</v>
      </c>
      <c r="E342" s="3">
        <f t="shared" si="16"/>
        <v>35965.686222674907</v>
      </c>
      <c r="F342" s="4">
        <f>('Owner Occupier'!$H$24-'Owner Occupier'!$D$52)/('Owner Occupier'!$D$56-'Owner Occupier'!$D$52)*B342</f>
        <v>781.825349842783</v>
      </c>
      <c r="G342" s="4">
        <f t="shared" si="17"/>
        <v>154708.30093038801</v>
      </c>
    </row>
    <row r="343" spans="1:7" x14ac:dyDescent="0.25">
      <c r="A343">
        <v>340</v>
      </c>
      <c r="B343" s="4">
        <f>-PPMT('Owner Occupier'!$D$41/12,'FHA Amotization'!$A343,360,'Owner Occupier'!$D$40,0,0)</f>
        <v>1652.7815366057525</v>
      </c>
      <c r="C343" s="4">
        <f>-IPMT('Owner Occupier'!$D$41/12,'FHA Amotization'!$A343,360,'Owner Occupier'!$D$40,0,0)</f>
        <v>127.37847203863981</v>
      </c>
      <c r="D343" s="4">
        <f t="shared" si="15"/>
        <v>1780.1600086443923</v>
      </c>
      <c r="E343" s="3">
        <f t="shared" si="16"/>
        <v>34312.904686069152</v>
      </c>
      <c r="F343" s="4">
        <f>('Owner Occupier'!$H$24-'Owner Occupier'!$D$52)/('Owner Occupier'!$D$56-'Owner Occupier'!$D$52)*B343</f>
        <v>784.59431462347629</v>
      </c>
      <c r="G343" s="4">
        <f t="shared" si="17"/>
        <v>155492.89524501149</v>
      </c>
    </row>
    <row r="344" spans="1:7" x14ac:dyDescent="0.25">
      <c r="A344">
        <v>341</v>
      </c>
      <c r="B344" s="4">
        <f>-PPMT('Owner Occupier'!$D$41/12,'FHA Amotization'!$A344,360,'Owner Occupier'!$D$40,0,0)</f>
        <v>1658.6351378812312</v>
      </c>
      <c r="C344" s="4">
        <f>-IPMT('Owner Occupier'!$D$41/12,'FHA Amotization'!$A344,360,'Owner Occupier'!$D$40,0,0)</f>
        <v>121.52487076316108</v>
      </c>
      <c r="D344" s="4">
        <f t="shared" si="15"/>
        <v>1780.1600086443923</v>
      </c>
      <c r="E344" s="3">
        <f t="shared" si="16"/>
        <v>32654.26954818792</v>
      </c>
      <c r="F344" s="4">
        <f>('Owner Occupier'!$H$24-'Owner Occupier'!$D$52)/('Owner Occupier'!$D$56-'Owner Occupier'!$D$52)*B344</f>
        <v>787.37308615443442</v>
      </c>
      <c r="G344" s="4">
        <f t="shared" si="17"/>
        <v>156280.26833116592</v>
      </c>
    </row>
    <row r="345" spans="1:7" x14ac:dyDescent="0.25">
      <c r="A345">
        <v>342</v>
      </c>
      <c r="B345" s="4">
        <f>-PPMT('Owner Occupier'!$D$41/12,'FHA Amotization'!$A345,360,'Owner Occupier'!$D$40,0,0)</f>
        <v>1664.5094706612272</v>
      </c>
      <c r="C345" s="4">
        <f>-IPMT('Owner Occupier'!$D$41/12,'FHA Amotization'!$A345,360,'Owner Occupier'!$D$40,0,0)</f>
        <v>115.65053798316504</v>
      </c>
      <c r="D345" s="4">
        <f t="shared" si="15"/>
        <v>1780.1600086443923</v>
      </c>
      <c r="E345" s="3">
        <f t="shared" si="16"/>
        <v>30989.760077526691</v>
      </c>
      <c r="F345" s="4">
        <f>('Owner Occupier'!$H$24-'Owner Occupier'!$D$52)/('Owner Occupier'!$D$56-'Owner Occupier'!$D$52)*B345</f>
        <v>790.16169916789795</v>
      </c>
      <c r="G345" s="4">
        <f t="shared" si="17"/>
        <v>157070.43003033381</v>
      </c>
    </row>
    <row r="346" spans="1:7" x14ac:dyDescent="0.25">
      <c r="A346">
        <v>343</v>
      </c>
      <c r="B346" s="4">
        <f>-PPMT('Owner Occupier'!$D$41/12,'FHA Amotization'!$A346,360,'Owner Occupier'!$D$40,0,0)</f>
        <v>1670.404608369819</v>
      </c>
      <c r="C346" s="4">
        <f>-IPMT('Owner Occupier'!$D$41/12,'FHA Amotization'!$A346,360,'Owner Occupier'!$D$40,0,0)</f>
        <v>109.7554002745732</v>
      </c>
      <c r="D346" s="4">
        <f t="shared" si="15"/>
        <v>1780.1600086443923</v>
      </c>
      <c r="E346" s="3">
        <f t="shared" si="16"/>
        <v>29319.355469156872</v>
      </c>
      <c r="F346" s="4">
        <f>('Owner Occupier'!$H$24-'Owner Occupier'!$D$52)/('Owner Occupier'!$D$56-'Owner Occupier'!$D$52)*B346</f>
        <v>792.96018851911765</v>
      </c>
      <c r="G346" s="4">
        <f t="shared" si="17"/>
        <v>157863.39021885293</v>
      </c>
    </row>
    <row r="347" spans="1:7" x14ac:dyDescent="0.25">
      <c r="A347">
        <v>344</v>
      </c>
      <c r="B347" s="4">
        <f>-PPMT('Owner Occupier'!$D$41/12,'FHA Amotization'!$A347,360,'Owner Occupier'!$D$40,0,0)</f>
        <v>1676.3206246911288</v>
      </c>
      <c r="C347" s="4">
        <f>-IPMT('Owner Occupier'!$D$41/12,'FHA Amotization'!$A347,360,'Owner Occupier'!$D$40,0,0)</f>
        <v>103.83938395326344</v>
      </c>
      <c r="D347" s="4">
        <f t="shared" si="15"/>
        <v>1780.1600086443923</v>
      </c>
      <c r="E347" s="3">
        <f t="shared" si="16"/>
        <v>27643.034844465743</v>
      </c>
      <c r="F347" s="4">
        <f>('Owner Occupier'!$H$24-'Owner Occupier'!$D$52)/('Owner Occupier'!$D$56-'Owner Occupier'!$D$52)*B347</f>
        <v>795.76858918678954</v>
      </c>
      <c r="G347" s="4">
        <f t="shared" si="17"/>
        <v>158659.15880803973</v>
      </c>
    </row>
    <row r="348" spans="1:7" x14ac:dyDescent="0.25">
      <c r="A348">
        <v>345</v>
      </c>
      <c r="B348" s="4">
        <f>-PPMT('Owner Occupier'!$D$41/12,'FHA Amotization'!$A348,360,'Owner Occupier'!$D$40,0,0)</f>
        <v>1682.2575935702432</v>
      </c>
      <c r="C348" s="4">
        <f>-IPMT('Owner Occupier'!$D$41/12,'FHA Amotization'!$A348,360,'Owner Occupier'!$D$40,0,0)</f>
        <v>97.902415074149019</v>
      </c>
      <c r="D348" s="4">
        <f t="shared" si="15"/>
        <v>1780.1600086443923</v>
      </c>
      <c r="E348" s="3">
        <f t="shared" si="16"/>
        <v>25960.777250895499</v>
      </c>
      <c r="F348" s="4">
        <f>('Owner Occupier'!$H$24-'Owner Occupier'!$D$52)/('Owner Occupier'!$D$56-'Owner Occupier'!$D$52)*B348</f>
        <v>798.58693627349271</v>
      </c>
      <c r="G348" s="4">
        <f t="shared" si="17"/>
        <v>159457.74574431323</v>
      </c>
    </row>
    <row r="349" spans="1:7" x14ac:dyDescent="0.25">
      <c r="A349">
        <v>346</v>
      </c>
      <c r="B349" s="4">
        <f>-PPMT('Owner Occupier'!$D$41/12,'FHA Amotization'!$A349,360,'Owner Occupier'!$D$40,0,0)</f>
        <v>1688.2155892141379</v>
      </c>
      <c r="C349" s="4">
        <f>-IPMT('Owner Occupier'!$D$41/12,'FHA Amotization'!$A349,360,'Owner Occupier'!$D$40,0,0)</f>
        <v>91.944419430254413</v>
      </c>
      <c r="D349" s="4">
        <f t="shared" si="15"/>
        <v>1780.1600086443923</v>
      </c>
      <c r="E349" s="3">
        <f t="shared" si="16"/>
        <v>24272.56166168136</v>
      </c>
      <c r="F349" s="4">
        <f>('Owner Occupier'!$H$24-'Owner Occupier'!$D$52)/('Owner Occupier'!$D$56-'Owner Occupier'!$D$52)*B349</f>
        <v>801.41526500612804</v>
      </c>
      <c r="G349" s="4">
        <f t="shared" si="17"/>
        <v>160259.16100931936</v>
      </c>
    </row>
    <row r="350" spans="1:7" x14ac:dyDescent="0.25">
      <c r="A350">
        <v>347</v>
      </c>
      <c r="B350" s="4">
        <f>-PPMT('Owner Occupier'!$D$41/12,'FHA Amotization'!$A350,360,'Owner Occupier'!$D$40,0,0)</f>
        <v>1694.1946860926046</v>
      </c>
      <c r="C350" s="4">
        <f>-IPMT('Owner Occupier'!$D$41/12,'FHA Amotization'!$A350,360,'Owner Occupier'!$D$40,0,0)</f>
        <v>85.965322551787651</v>
      </c>
      <c r="D350" s="4">
        <f t="shared" si="15"/>
        <v>1780.1600086443923</v>
      </c>
      <c r="E350" s="3">
        <f t="shared" si="16"/>
        <v>22578.366975588757</v>
      </c>
      <c r="F350" s="4">
        <f>('Owner Occupier'!$H$24-'Owner Occupier'!$D$52)/('Owner Occupier'!$D$56-'Owner Occupier'!$D$52)*B350</f>
        <v>804.25361073635804</v>
      </c>
      <c r="G350" s="4">
        <f t="shared" si="17"/>
        <v>161063.41462005573</v>
      </c>
    </row>
    <row r="351" spans="1:7" x14ac:dyDescent="0.25">
      <c r="A351">
        <v>348</v>
      </c>
      <c r="B351" s="4">
        <f>-PPMT('Owner Occupier'!$D$41/12,'FHA Amotization'!$A351,360,'Owner Occupier'!$D$40,0,0)</f>
        <v>1700.1949589391825</v>
      </c>
      <c r="C351" s="4">
        <f>-IPMT('Owner Occupier'!$D$41/12,'FHA Amotization'!$A351,360,'Owner Occupier'!$D$40,0,0)</f>
        <v>79.96504970520968</v>
      </c>
      <c r="D351" s="4">
        <f t="shared" si="15"/>
        <v>1780.1600086443921</v>
      </c>
      <c r="E351" s="3">
        <f t="shared" si="16"/>
        <v>20878.172016649572</v>
      </c>
      <c r="F351" s="4">
        <f>('Owner Occupier'!$H$24-'Owner Occupier'!$D$52)/('Owner Occupier'!$D$56-'Owner Occupier'!$D$52)*B351</f>
        <v>807.10200894104923</v>
      </c>
      <c r="G351" s="4">
        <f t="shared" si="17"/>
        <v>161870.51662899679</v>
      </c>
    </row>
    <row r="352" spans="1:7" x14ac:dyDescent="0.25">
      <c r="A352">
        <v>349</v>
      </c>
      <c r="B352" s="4">
        <f>-PPMT('Owner Occupier'!$D$41/12,'FHA Amotization'!$A352,360,'Owner Occupier'!$D$40,0,0)</f>
        <v>1706.2164827520921</v>
      </c>
      <c r="C352" s="4">
        <f>-IPMT('Owner Occupier'!$D$41/12,'FHA Amotization'!$A352,360,'Owner Occupier'!$D$40,0,0)</f>
        <v>73.943525892300087</v>
      </c>
      <c r="D352" s="4">
        <f t="shared" si="15"/>
        <v>1780.1600086443923</v>
      </c>
      <c r="E352" s="3">
        <f t="shared" si="16"/>
        <v>19171.955533897479</v>
      </c>
      <c r="F352" s="4">
        <f>('Owner Occupier'!$H$24-'Owner Occupier'!$D$52)/('Owner Occupier'!$D$56-'Owner Occupier'!$D$52)*B352</f>
        <v>809.96049522271551</v>
      </c>
      <c r="G352" s="4">
        <f t="shared" si="17"/>
        <v>162680.4771242195</v>
      </c>
    </row>
    <row r="353" spans="1:7" x14ac:dyDescent="0.25">
      <c r="A353">
        <v>350</v>
      </c>
      <c r="B353" s="4">
        <f>-PPMT('Owner Occupier'!$D$41/12,'FHA Amotization'!$A353,360,'Owner Occupier'!$D$40,0,0)</f>
        <v>1712.2593327951724</v>
      </c>
      <c r="C353" s="4">
        <f>-IPMT('Owner Occupier'!$D$41/12,'FHA Amotization'!$A353,360,'Owner Occupier'!$D$40,0,0)</f>
        <v>67.900675849219752</v>
      </c>
      <c r="D353" s="4">
        <f t="shared" si="15"/>
        <v>1780.1600086443923</v>
      </c>
      <c r="E353" s="3">
        <f t="shared" si="16"/>
        <v>17459.696201102306</v>
      </c>
      <c r="F353" s="4">
        <f>('Owner Occupier'!$H$24-'Owner Occupier'!$D$52)/('Owner Occupier'!$D$56-'Owner Occupier'!$D$52)*B353</f>
        <v>812.82910530996264</v>
      </c>
      <c r="G353" s="4">
        <f t="shared" si="17"/>
        <v>163493.30622952947</v>
      </c>
    </row>
    <row r="354" spans="1:7" x14ac:dyDescent="0.25">
      <c r="A354">
        <v>351</v>
      </c>
      <c r="B354" s="4">
        <f>-PPMT('Owner Occupier'!$D$41/12,'FHA Amotization'!$A354,360,'Owner Occupier'!$D$40,0,0)</f>
        <v>1718.323584598822</v>
      </c>
      <c r="C354" s="4">
        <f>-IPMT('Owner Occupier'!$D$41/12,'FHA Amotization'!$A354,360,'Owner Occupier'!$D$40,0,0)</f>
        <v>61.836424045570197</v>
      </c>
      <c r="D354" s="4">
        <f t="shared" si="15"/>
        <v>1780.1600086443923</v>
      </c>
      <c r="E354" s="3">
        <f t="shared" si="16"/>
        <v>15741.372616503484</v>
      </c>
      <c r="F354" s="4">
        <f>('Owner Occupier'!$H$24-'Owner Occupier'!$D$52)/('Owner Occupier'!$D$56-'Owner Occupier'!$D$52)*B354</f>
        <v>815.70787505793544</v>
      </c>
      <c r="G354" s="4">
        <f t="shared" si="17"/>
        <v>164309.0141045874</v>
      </c>
    </row>
    <row r="355" spans="1:7" x14ac:dyDescent="0.25">
      <c r="A355">
        <v>352</v>
      </c>
      <c r="B355" s="4">
        <f>-PPMT('Owner Occupier'!$D$41/12,'FHA Amotization'!$A355,360,'Owner Occupier'!$D$40,0,0)</f>
        <v>1724.4093139609429</v>
      </c>
      <c r="C355" s="4">
        <f>-IPMT('Owner Occupier'!$D$41/12,'FHA Amotization'!$A355,360,'Owner Occupier'!$D$40,0,0)</f>
        <v>55.750694683449353</v>
      </c>
      <c r="D355" s="4">
        <f t="shared" si="15"/>
        <v>1780.1600086443923</v>
      </c>
      <c r="E355" s="3">
        <f t="shared" si="16"/>
        <v>14016.963302542541</v>
      </c>
      <c r="F355" s="4">
        <f>('Owner Occupier'!$H$24-'Owner Occupier'!$D$52)/('Owner Occupier'!$D$56-'Owner Occupier'!$D$52)*B355</f>
        <v>818.59684044876565</v>
      </c>
      <c r="G355" s="4">
        <f t="shared" si="17"/>
        <v>165127.61094503617</v>
      </c>
    </row>
    <row r="356" spans="1:7" x14ac:dyDescent="0.25">
      <c r="A356">
        <v>353</v>
      </c>
      <c r="B356" s="4">
        <f>-PPMT('Owner Occupier'!$D$41/12,'FHA Amotization'!$A356,360,'Owner Occupier'!$D$40,0,0)</f>
        <v>1730.5165969478878</v>
      </c>
      <c r="C356" s="4">
        <f>-IPMT('Owner Occupier'!$D$41/12,'FHA Amotization'!$A356,360,'Owner Occupier'!$D$40,0,0)</f>
        <v>49.643411696504351</v>
      </c>
      <c r="D356" s="4">
        <f t="shared" si="15"/>
        <v>1780.1600086443921</v>
      </c>
      <c r="E356" s="3">
        <f t="shared" si="16"/>
        <v>12286.446705594653</v>
      </c>
      <c r="F356" s="4">
        <f>('Owner Occupier'!$H$24-'Owner Occupier'!$D$52)/('Owner Occupier'!$D$56-'Owner Occupier'!$D$52)*B356</f>
        <v>821.49603759202159</v>
      </c>
      <c r="G356" s="4">
        <f t="shared" si="17"/>
        <v>165949.1069826282</v>
      </c>
    </row>
    <row r="357" spans="1:7" x14ac:dyDescent="0.25">
      <c r="A357">
        <v>354</v>
      </c>
      <c r="B357" s="4">
        <f>-PPMT('Owner Occupier'!$D$41/12,'FHA Amotization'!$A357,360,'Owner Occupier'!$D$40,0,0)</f>
        <v>1736.6455098954118</v>
      </c>
      <c r="C357" s="4">
        <f>-IPMT('Owner Occupier'!$D$41/12,'FHA Amotization'!$A357,360,'Owner Occupier'!$D$40,0,0)</f>
        <v>43.514498748980586</v>
      </c>
      <c r="D357" s="4">
        <f t="shared" si="15"/>
        <v>1780.1600086443923</v>
      </c>
      <c r="E357" s="3">
        <f t="shared" si="16"/>
        <v>10549.801195699241</v>
      </c>
      <c r="F357" s="4">
        <f>('Owner Occupier'!$H$24-'Owner Occupier'!$D$52)/('Owner Occupier'!$D$56-'Owner Occupier'!$D$52)*B357</f>
        <v>824.40550272516009</v>
      </c>
      <c r="G357" s="4">
        <f t="shared" si="17"/>
        <v>166773.51248535336</v>
      </c>
    </row>
    <row r="358" spans="1:7" x14ac:dyDescent="0.25">
      <c r="A358">
        <v>355</v>
      </c>
      <c r="B358" s="4">
        <f>-PPMT('Owner Occupier'!$D$41/12,'FHA Amotization'!$A358,360,'Owner Occupier'!$D$40,0,0)</f>
        <v>1742.7961294096247</v>
      </c>
      <c r="C358" s="4">
        <f>-IPMT('Owner Occupier'!$D$41/12,'FHA Amotization'!$A358,360,'Owner Occupier'!$D$40,0,0)</f>
        <v>37.363879234767666</v>
      </c>
      <c r="D358" s="4">
        <f t="shared" si="15"/>
        <v>1780.1600086443923</v>
      </c>
      <c r="E358" s="3">
        <f t="shared" si="16"/>
        <v>8807.0050662896174</v>
      </c>
      <c r="F358" s="4">
        <f>('Owner Occupier'!$H$24-'Owner Occupier'!$D$52)/('Owner Occupier'!$D$56-'Owner Occupier'!$D$52)*B358</f>
        <v>827.32527221397834</v>
      </c>
      <c r="G358" s="4">
        <f t="shared" si="17"/>
        <v>167600.83775756735</v>
      </c>
    </row>
    <row r="359" spans="1:7" x14ac:dyDescent="0.25">
      <c r="A359">
        <v>356</v>
      </c>
      <c r="B359" s="4">
        <f>-PPMT('Owner Occupier'!$D$41/12,'FHA Amotization'!$A359,360,'Owner Occupier'!$D$40,0,0)</f>
        <v>1748.9685323679505</v>
      </c>
      <c r="C359" s="4">
        <f>-IPMT('Owner Occupier'!$D$41/12,'FHA Amotization'!$A359,360,'Owner Occupier'!$D$40,0,0)</f>
        <v>31.191476276441907</v>
      </c>
      <c r="D359" s="4">
        <f t="shared" si="15"/>
        <v>1780.1600086443925</v>
      </c>
      <c r="E359" s="3">
        <f t="shared" si="16"/>
        <v>7058.0365339216669</v>
      </c>
      <c r="F359" s="4">
        <f>('Owner Occupier'!$H$24-'Owner Occupier'!$D$52)/('Owner Occupier'!$D$56-'Owner Occupier'!$D$52)*B359</f>
        <v>830.25538255306958</v>
      </c>
      <c r="G359" s="4">
        <f t="shared" si="17"/>
        <v>168431.09314012041</v>
      </c>
    </row>
    <row r="360" spans="1:7" x14ac:dyDescent="0.25">
      <c r="A360">
        <v>357</v>
      </c>
      <c r="B360" s="4">
        <f>-PPMT('Owner Occupier'!$D$41/12,'FHA Amotization'!$A360,360,'Owner Occupier'!$D$40,0,0)</f>
        <v>1755.1627959200869</v>
      </c>
      <c r="C360" s="4">
        <f>-IPMT('Owner Occupier'!$D$41/12,'FHA Amotization'!$A360,360,'Owner Occupier'!$D$40,0,0)</f>
        <v>24.99721272430542</v>
      </c>
      <c r="D360" s="4">
        <f t="shared" si="15"/>
        <v>1780.1600086443923</v>
      </c>
      <c r="E360" s="3">
        <f t="shared" si="16"/>
        <v>5302.87373800158</v>
      </c>
      <c r="F360" s="4">
        <f>('Owner Occupier'!$H$24-'Owner Occupier'!$D$52)/('Owner Occupier'!$D$56-'Owner Occupier'!$D$52)*B360</f>
        <v>833.19587036627831</v>
      </c>
      <c r="G360" s="4">
        <f t="shared" si="17"/>
        <v>169264.28901048668</v>
      </c>
    </row>
    <row r="361" spans="1:7" x14ac:dyDescent="0.25">
      <c r="A361">
        <v>358</v>
      </c>
      <c r="B361" s="4">
        <f>-PPMT('Owner Occupier'!$D$41/12,'FHA Amotization'!$A361,360,'Owner Occupier'!$D$40,0,0)</f>
        <v>1761.3789974889708</v>
      </c>
      <c r="C361" s="4">
        <f>-IPMT('Owner Occupier'!$D$41/12,'FHA Amotization'!$A361,360,'Owner Occupier'!$D$40,0,0)</f>
        <v>18.781011155421776</v>
      </c>
      <c r="D361" s="4">
        <f t="shared" si="15"/>
        <v>1780.1600086443925</v>
      </c>
      <c r="E361" s="3">
        <f t="shared" si="16"/>
        <v>3541.4947405126095</v>
      </c>
      <c r="F361" s="4">
        <f>('Owner Occupier'!$H$24-'Owner Occupier'!$D$52)/('Owner Occupier'!$D$56-'Owner Occupier'!$D$52)*B361</f>
        <v>836.14677240715901</v>
      </c>
      <c r="G361" s="4">
        <f t="shared" si="17"/>
        <v>170100.43578289385</v>
      </c>
    </row>
    <row r="362" spans="1:7" x14ac:dyDescent="0.25">
      <c r="A362">
        <v>359</v>
      </c>
      <c r="B362" s="4">
        <f>-PPMT('Owner Occupier'!$D$41/12,'FHA Amotization'!$A362,360,'Owner Occupier'!$D$40,0,0)</f>
        <v>1767.6172147717439</v>
      </c>
      <c r="C362" s="4">
        <f>-IPMT('Owner Occupier'!$D$41/12,'FHA Amotization'!$A362,360,'Owner Occupier'!$D$40,0,0)</f>
        <v>12.542793872648337</v>
      </c>
      <c r="D362" s="4">
        <f t="shared" si="15"/>
        <v>1780.1600086443923</v>
      </c>
      <c r="E362" s="3">
        <f t="shared" si="16"/>
        <v>1773.8775257408656</v>
      </c>
      <c r="F362" s="4">
        <f>('Owner Occupier'!$H$24-'Owner Occupier'!$D$52)/('Owner Occupier'!$D$56-'Owner Occupier'!$D$52)*B362</f>
        <v>839.10812555943426</v>
      </c>
      <c r="G362" s="4">
        <f t="shared" si="17"/>
        <v>170939.54390845328</v>
      </c>
    </row>
    <row r="363" spans="1:7" x14ac:dyDescent="0.25">
      <c r="A363">
        <v>360</v>
      </c>
      <c r="B363" s="4">
        <f>-PPMT('Owner Occupier'!$D$41/12,'FHA Amotization'!$A363,360,'Owner Occupier'!$D$40,0,0)</f>
        <v>1773.8775257407272</v>
      </c>
      <c r="C363" s="4">
        <f>-IPMT('Owner Occupier'!$D$41/12,'FHA Amotization'!$A363,360,'Owner Occupier'!$D$40,0,0)</f>
        <v>6.2824829036650769</v>
      </c>
      <c r="D363" s="4">
        <f t="shared" si="15"/>
        <v>1780.1600086443923</v>
      </c>
      <c r="E363" s="3">
        <f t="shared" si="16"/>
        <v>1.3847056834492832E-10</v>
      </c>
      <c r="F363" s="4">
        <f>('Owner Occupier'!$H$24-'Owner Occupier'!$D$52)/('Owner Occupier'!$D$56-'Owner Occupier'!$D$52)*B363</f>
        <v>842.07996683745716</v>
      </c>
      <c r="G363" s="4">
        <f t="shared" si="17"/>
        <v>171781.62387529074</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9339-C2F6-4859-81D6-DADD0DC5A7C3}">
  <sheetPr codeName="Sheet3"/>
  <dimension ref="A1:J31"/>
  <sheetViews>
    <sheetView workbookViewId="0">
      <selection activeCell="N10" sqref="N10"/>
    </sheetView>
  </sheetViews>
  <sheetFormatPr defaultRowHeight="15" x14ac:dyDescent="0.25"/>
  <cols>
    <col min="3" max="3" width="12.7109375" bestFit="1" customWidth="1"/>
    <col min="5" max="5" width="22.42578125" bestFit="1" customWidth="1"/>
  </cols>
  <sheetData>
    <row r="1" spans="1:10" x14ac:dyDescent="0.25">
      <c r="A1" t="s">
        <v>7</v>
      </c>
      <c r="C1" t="s">
        <v>57</v>
      </c>
      <c r="E1" t="s">
        <v>58</v>
      </c>
      <c r="F1" t="s">
        <v>59</v>
      </c>
    </row>
    <row r="2" spans="1:10" x14ac:dyDescent="0.25">
      <c r="A2" s="2">
        <v>0</v>
      </c>
      <c r="C2" s="2">
        <v>0.01</v>
      </c>
      <c r="E2" s="6">
        <v>0</v>
      </c>
      <c r="F2" s="2">
        <v>0</v>
      </c>
      <c r="H2">
        <v>1</v>
      </c>
      <c r="J2" t="s">
        <v>60</v>
      </c>
    </row>
    <row r="3" spans="1:10" x14ac:dyDescent="0.25">
      <c r="A3" s="6">
        <v>3.5000000000000003E-2</v>
      </c>
      <c r="C3" s="2">
        <v>0.02</v>
      </c>
      <c r="E3" s="6">
        <v>0.01</v>
      </c>
      <c r="F3" s="2">
        <v>0.01</v>
      </c>
      <c r="H3">
        <v>2</v>
      </c>
      <c r="J3" t="s">
        <v>54</v>
      </c>
    </row>
    <row r="4" spans="1:10" x14ac:dyDescent="0.25">
      <c r="A4" s="2">
        <v>0.05</v>
      </c>
      <c r="C4" s="2">
        <v>0.03</v>
      </c>
      <c r="E4" s="6">
        <v>1.4999999999999999E-2</v>
      </c>
      <c r="F4" s="2">
        <v>0.02</v>
      </c>
      <c r="H4">
        <v>3</v>
      </c>
    </row>
    <row r="5" spans="1:10" x14ac:dyDescent="0.25">
      <c r="A5" s="2">
        <v>0.1</v>
      </c>
      <c r="C5" s="2">
        <v>0.04</v>
      </c>
      <c r="E5" s="6">
        <v>0.02</v>
      </c>
      <c r="F5" s="2">
        <v>0.03</v>
      </c>
      <c r="H5">
        <v>4</v>
      </c>
    </row>
    <row r="6" spans="1:10" x14ac:dyDescent="0.25">
      <c r="A6" s="2">
        <v>0.15</v>
      </c>
      <c r="C6" s="2">
        <v>0.05</v>
      </c>
      <c r="E6" s="6">
        <v>0.03</v>
      </c>
      <c r="F6" s="2">
        <v>0.04</v>
      </c>
      <c r="H6">
        <v>5</v>
      </c>
    </row>
    <row r="7" spans="1:10" x14ac:dyDescent="0.25">
      <c r="A7" s="2">
        <v>0.2</v>
      </c>
      <c r="C7" s="2">
        <v>0.06</v>
      </c>
      <c r="E7" s="6">
        <v>0.04</v>
      </c>
      <c r="F7" s="2">
        <v>0.05</v>
      </c>
      <c r="H7">
        <v>6</v>
      </c>
    </row>
    <row r="8" spans="1:10" x14ac:dyDescent="0.25">
      <c r="A8" s="2">
        <v>0.25</v>
      </c>
      <c r="C8" s="2">
        <v>7.0000000000000007E-2</v>
      </c>
      <c r="E8" s="6">
        <v>0.05</v>
      </c>
      <c r="F8" s="2">
        <v>0.06</v>
      </c>
      <c r="H8">
        <v>7</v>
      </c>
    </row>
    <row r="9" spans="1:10" x14ac:dyDescent="0.25">
      <c r="A9" s="2">
        <v>0.3</v>
      </c>
      <c r="C9" s="2">
        <v>0.08</v>
      </c>
      <c r="E9" s="6">
        <v>0.06</v>
      </c>
      <c r="F9" s="2">
        <v>7.0000000000000007E-2</v>
      </c>
      <c r="H9">
        <v>8</v>
      </c>
    </row>
    <row r="10" spans="1:10" x14ac:dyDescent="0.25">
      <c r="A10" s="2">
        <v>0.35</v>
      </c>
      <c r="C10" s="2">
        <v>0.09</v>
      </c>
      <c r="E10" s="6">
        <v>7.0000000000000007E-2</v>
      </c>
      <c r="F10" s="2">
        <v>0.08</v>
      </c>
      <c r="H10">
        <v>9</v>
      </c>
    </row>
    <row r="11" spans="1:10" x14ac:dyDescent="0.25">
      <c r="A11" s="2">
        <f>A10+0.05</f>
        <v>0.39999999999999997</v>
      </c>
      <c r="C11" s="2">
        <v>0.1</v>
      </c>
      <c r="E11" s="6">
        <v>0.08</v>
      </c>
      <c r="F11" s="2">
        <v>0.09</v>
      </c>
      <c r="H11">
        <v>10</v>
      </c>
    </row>
    <row r="12" spans="1:10" x14ac:dyDescent="0.25">
      <c r="A12" s="2">
        <f t="shared" ref="A12:A22" si="0">A11+0.05</f>
        <v>0.44999999999999996</v>
      </c>
      <c r="F12" s="2">
        <v>0.1</v>
      </c>
      <c r="H12">
        <v>11</v>
      </c>
    </row>
    <row r="13" spans="1:10" x14ac:dyDescent="0.25">
      <c r="A13" s="2">
        <f t="shared" si="0"/>
        <v>0.49999999999999994</v>
      </c>
      <c r="H13">
        <v>12</v>
      </c>
    </row>
    <row r="14" spans="1:10" x14ac:dyDescent="0.25">
      <c r="A14" s="2">
        <f t="shared" si="0"/>
        <v>0.54999999999999993</v>
      </c>
      <c r="H14">
        <v>13</v>
      </c>
    </row>
    <row r="15" spans="1:10" x14ac:dyDescent="0.25">
      <c r="A15" s="2">
        <f t="shared" si="0"/>
        <v>0.6</v>
      </c>
      <c r="H15">
        <v>14</v>
      </c>
    </row>
    <row r="16" spans="1:10" x14ac:dyDescent="0.25">
      <c r="A16" s="2">
        <f t="shared" si="0"/>
        <v>0.65</v>
      </c>
      <c r="H16">
        <v>15</v>
      </c>
    </row>
    <row r="17" spans="1:8" x14ac:dyDescent="0.25">
      <c r="A17" s="2">
        <f t="shared" si="0"/>
        <v>0.70000000000000007</v>
      </c>
      <c r="H17">
        <v>16</v>
      </c>
    </row>
    <row r="18" spans="1:8" x14ac:dyDescent="0.25">
      <c r="A18" s="2">
        <f t="shared" si="0"/>
        <v>0.75000000000000011</v>
      </c>
      <c r="H18">
        <v>17</v>
      </c>
    </row>
    <row r="19" spans="1:8" x14ac:dyDescent="0.25">
      <c r="A19" s="2">
        <f>A18+0.05</f>
        <v>0.80000000000000016</v>
      </c>
      <c r="H19">
        <v>18</v>
      </c>
    </row>
    <row r="20" spans="1:8" x14ac:dyDescent="0.25">
      <c r="A20" s="2">
        <f t="shared" si="0"/>
        <v>0.8500000000000002</v>
      </c>
      <c r="H20">
        <v>19</v>
      </c>
    </row>
    <row r="21" spans="1:8" x14ac:dyDescent="0.25">
      <c r="A21" s="2">
        <f t="shared" si="0"/>
        <v>0.90000000000000024</v>
      </c>
      <c r="H21">
        <v>20</v>
      </c>
    </row>
    <row r="22" spans="1:8" x14ac:dyDescent="0.25">
      <c r="A22" s="2">
        <f t="shared" si="0"/>
        <v>0.95000000000000029</v>
      </c>
      <c r="H22">
        <v>21</v>
      </c>
    </row>
    <row r="23" spans="1:8" x14ac:dyDescent="0.25">
      <c r="A23" s="2">
        <f>A22+0.05</f>
        <v>1.0000000000000002</v>
      </c>
      <c r="H23">
        <v>22</v>
      </c>
    </row>
    <row r="24" spans="1:8" x14ac:dyDescent="0.25">
      <c r="H24">
        <v>23</v>
      </c>
    </row>
    <row r="25" spans="1:8" x14ac:dyDescent="0.25">
      <c r="H25">
        <v>24</v>
      </c>
    </row>
    <row r="26" spans="1:8" x14ac:dyDescent="0.25">
      <c r="H26">
        <v>25</v>
      </c>
    </row>
    <row r="27" spans="1:8" x14ac:dyDescent="0.25">
      <c r="H27">
        <v>26</v>
      </c>
    </row>
    <row r="28" spans="1:8" x14ac:dyDescent="0.25">
      <c r="H28">
        <v>27</v>
      </c>
    </row>
    <row r="29" spans="1:8" x14ac:dyDescent="0.25">
      <c r="H29">
        <v>28</v>
      </c>
    </row>
    <row r="30" spans="1:8" x14ac:dyDescent="0.25">
      <c r="H30">
        <v>29</v>
      </c>
    </row>
    <row r="31" spans="1:8" x14ac:dyDescent="0.25">
      <c r="H31">
        <v>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1583-FDA8-48D9-924A-F4FAD3C99270}">
  <sheetPr codeName="Sheet4"/>
  <dimension ref="A1:E363"/>
  <sheetViews>
    <sheetView workbookViewId="0">
      <selection activeCell="F4" sqref="F4"/>
    </sheetView>
  </sheetViews>
  <sheetFormatPr defaultRowHeight="15" x14ac:dyDescent="0.25"/>
  <cols>
    <col min="2" max="2" width="17.28515625" bestFit="1" customWidth="1"/>
    <col min="3" max="3" width="23.5703125" bestFit="1" customWidth="1"/>
    <col min="4" max="4" width="23.5703125" customWidth="1"/>
    <col min="5" max="5" width="17.28515625" bestFit="1" customWidth="1"/>
  </cols>
  <sheetData>
    <row r="1" spans="1:5" ht="18.75" x14ac:dyDescent="0.3">
      <c r="A1" s="114" t="s">
        <v>61</v>
      </c>
      <c r="B1" s="114"/>
      <c r="C1" s="114"/>
      <c r="D1" s="5"/>
      <c r="E1" s="5"/>
    </row>
    <row r="2" spans="1:5" x14ac:dyDescent="0.25">
      <c r="E2" s="15"/>
    </row>
    <row r="3" spans="1:5" x14ac:dyDescent="0.25">
      <c r="A3" s="1" t="s">
        <v>62</v>
      </c>
      <c r="B3" s="1" t="s">
        <v>63</v>
      </c>
      <c r="C3" s="1" t="s">
        <v>64</v>
      </c>
      <c r="D3" s="1" t="s">
        <v>65</v>
      </c>
      <c r="E3" s="1" t="s">
        <v>66</v>
      </c>
    </row>
    <row r="4" spans="1:5" x14ac:dyDescent="0.25">
      <c r="A4">
        <v>1</v>
      </c>
      <c r="B4" s="4">
        <f>-PPMT('With Loan'!$D$41/12,'30% Down Amortization'!$A4,360,'With Loan'!$D$40,0,0)</f>
        <v>395.35538478542543</v>
      </c>
      <c r="C4" s="4">
        <f>-IPMT('With Loan'!$D$41/12,'30% Down Amortization'!$A4,360,'With Loan'!$D$40,0,0)</f>
        <v>820.29062499999998</v>
      </c>
      <c r="D4" s="4">
        <f>B4+C4</f>
        <v>1215.6460097854253</v>
      </c>
      <c r="E4" s="4">
        <f>'With Loan'!$D$40-'30% Down Amortization'!B4</f>
        <v>262097.64461521458</v>
      </c>
    </row>
    <row r="5" spans="1:5" x14ac:dyDescent="0.25">
      <c r="A5">
        <v>2</v>
      </c>
      <c r="B5" s="4">
        <f>-PPMT('With Loan'!$D$41/12,'30% Down Amortization'!$A5,360,'With Loan'!$D$40,0,0)</f>
        <v>396.59087036287985</v>
      </c>
      <c r="C5" s="4">
        <f>-IPMT('With Loan'!$D$41/12,'30% Down Amortization'!$A5,360,'With Loan'!$D$40,0,0)</f>
        <v>819.05513942254549</v>
      </c>
      <c r="D5" s="4">
        <f t="shared" ref="D5:D68" si="0">B5+C5</f>
        <v>1215.6460097854253</v>
      </c>
      <c r="E5" s="3">
        <f>E4-B5</f>
        <v>261701.0537448517</v>
      </c>
    </row>
    <row r="6" spans="1:5" x14ac:dyDescent="0.25">
      <c r="A6">
        <v>3</v>
      </c>
      <c r="B6" s="4">
        <f>-PPMT('With Loan'!$D$41/12,'30% Down Amortization'!$A6,360,'With Loan'!$D$40,0,0)</f>
        <v>397.83021683276382</v>
      </c>
      <c r="C6" s="4">
        <f>-IPMT('With Loan'!$D$41/12,'30% Down Amortization'!$A6,360,'With Loan'!$D$40,0,0)</f>
        <v>817.81579295266147</v>
      </c>
      <c r="D6" s="4">
        <f t="shared" si="0"/>
        <v>1215.6460097854253</v>
      </c>
      <c r="E6" s="3">
        <f t="shared" ref="E6:E33" si="1">E5-B6</f>
        <v>261303.22352801895</v>
      </c>
    </row>
    <row r="7" spans="1:5" x14ac:dyDescent="0.25">
      <c r="A7">
        <v>4</v>
      </c>
      <c r="B7" s="4">
        <f>-PPMT('With Loan'!$D$41/12,'30% Down Amortization'!$A7,360,'With Loan'!$D$40,0,0)</f>
        <v>399.07343626036629</v>
      </c>
      <c r="C7" s="4">
        <f>-IPMT('With Loan'!$D$41/12,'30% Down Amortization'!$A7,360,'With Loan'!$D$40,0,0)</f>
        <v>816.57257352505906</v>
      </c>
      <c r="D7" s="4">
        <f t="shared" si="0"/>
        <v>1215.6460097854253</v>
      </c>
      <c r="E7" s="3">
        <f t="shared" si="1"/>
        <v>260904.15009175858</v>
      </c>
    </row>
    <row r="8" spans="1:5" x14ac:dyDescent="0.25">
      <c r="A8">
        <v>5</v>
      </c>
      <c r="B8" s="4">
        <f>-PPMT('With Loan'!$D$41/12,'30% Down Amortization'!$A8,360,'With Loan'!$D$40,0,0)</f>
        <v>400.32054074867989</v>
      </c>
      <c r="C8" s="4">
        <f>-IPMT('With Loan'!$D$41/12,'30% Down Amortization'!$A8,360,'With Loan'!$D$40,0,0)</f>
        <v>815.32546903674563</v>
      </c>
      <c r="D8" s="4">
        <f t="shared" si="0"/>
        <v>1215.6460097854256</v>
      </c>
      <c r="E8" s="3">
        <f t="shared" si="1"/>
        <v>260503.8295510099</v>
      </c>
    </row>
    <row r="9" spans="1:5" x14ac:dyDescent="0.25">
      <c r="A9">
        <v>6</v>
      </c>
      <c r="B9" s="4">
        <f>-PPMT('With Loan'!$D$41/12,'30% Down Amortization'!$A9,360,'With Loan'!$D$40,0,0)</f>
        <v>401.57154243851949</v>
      </c>
      <c r="C9" s="4">
        <f>-IPMT('With Loan'!$D$41/12,'30% Down Amortization'!$A9,360,'With Loan'!$D$40,0,0)</f>
        <v>814.07446734690586</v>
      </c>
      <c r="D9" s="4">
        <f t="shared" si="0"/>
        <v>1215.6460097854253</v>
      </c>
      <c r="E9" s="3">
        <f t="shared" si="1"/>
        <v>260102.25800857137</v>
      </c>
    </row>
    <row r="10" spans="1:5" x14ac:dyDescent="0.25">
      <c r="A10">
        <v>7</v>
      </c>
      <c r="B10" s="4">
        <f>-PPMT('With Loan'!$D$41/12,'30% Down Amortization'!$A10,360,'With Loan'!$D$40,0,0)</f>
        <v>402.82645350863993</v>
      </c>
      <c r="C10" s="4">
        <f>-IPMT('With Loan'!$D$41/12,'30% Down Amortization'!$A10,360,'With Loan'!$D$40,0,0)</f>
        <v>812.81955627678542</v>
      </c>
      <c r="D10" s="4">
        <f t="shared" si="0"/>
        <v>1215.6460097854253</v>
      </c>
      <c r="E10" s="3">
        <f t="shared" si="1"/>
        <v>259699.43155506274</v>
      </c>
    </row>
    <row r="11" spans="1:5" x14ac:dyDescent="0.25">
      <c r="A11">
        <v>8</v>
      </c>
      <c r="B11" s="4">
        <f>-PPMT('With Loan'!$D$41/12,'30% Down Amortization'!$A11,360,'With Loan'!$D$40,0,0)</f>
        <v>404.08528617585438</v>
      </c>
      <c r="C11" s="4">
        <f>-IPMT('With Loan'!$D$41/12,'30% Down Amortization'!$A11,360,'With Loan'!$D$40,0,0)</f>
        <v>811.56072360957103</v>
      </c>
      <c r="D11" s="4">
        <f t="shared" si="0"/>
        <v>1215.6460097854253</v>
      </c>
      <c r="E11" s="3">
        <f t="shared" si="1"/>
        <v>259295.34626888687</v>
      </c>
    </row>
    <row r="12" spans="1:5" x14ac:dyDescent="0.25">
      <c r="A12">
        <v>9</v>
      </c>
      <c r="B12" s="4">
        <f>-PPMT('With Loan'!$D$41/12,'30% Down Amortization'!$A12,360,'With Loan'!$D$40,0,0)</f>
        <v>405.34805269515391</v>
      </c>
      <c r="C12" s="4">
        <f>-IPMT('With Loan'!$D$41/12,'30% Down Amortization'!$A12,360,'With Loan'!$D$40,0,0)</f>
        <v>810.29795709027144</v>
      </c>
      <c r="D12" s="4">
        <f t="shared" si="0"/>
        <v>1215.6460097854253</v>
      </c>
      <c r="E12" s="3">
        <f t="shared" si="1"/>
        <v>258889.99821619171</v>
      </c>
    </row>
    <row r="13" spans="1:5" x14ac:dyDescent="0.25">
      <c r="A13">
        <v>10</v>
      </c>
      <c r="B13" s="4">
        <f>-PPMT('With Loan'!$D$41/12,'30% Down Amortization'!$A13,360,'With Loan'!$D$40,0,0)</f>
        <v>406.61476535982632</v>
      </c>
      <c r="C13" s="4">
        <f>-IPMT('With Loan'!$D$41/12,'30% Down Amortization'!$A13,360,'With Loan'!$D$40,0,0)</f>
        <v>809.03124442559908</v>
      </c>
      <c r="D13" s="4">
        <f t="shared" si="0"/>
        <v>1215.6460097854253</v>
      </c>
      <c r="E13" s="3">
        <f t="shared" si="1"/>
        <v>258483.3834508319</v>
      </c>
    </row>
    <row r="14" spans="1:5" x14ac:dyDescent="0.25">
      <c r="A14">
        <v>11</v>
      </c>
      <c r="B14" s="4">
        <f>-PPMT('With Loan'!$D$41/12,'30% Down Amortization'!$A14,360,'With Loan'!$D$40,0,0)</f>
        <v>407.88543650157578</v>
      </c>
      <c r="C14" s="4">
        <f>-IPMT('With Loan'!$D$41/12,'30% Down Amortization'!$A14,360,'With Loan'!$D$40,0,0)</f>
        <v>807.76057328384957</v>
      </c>
      <c r="D14" s="4">
        <f t="shared" si="0"/>
        <v>1215.6460097854253</v>
      </c>
      <c r="E14" s="3">
        <f t="shared" si="1"/>
        <v>258075.49801433031</v>
      </c>
    </row>
    <row r="15" spans="1:5" x14ac:dyDescent="0.25">
      <c r="A15">
        <v>12</v>
      </c>
      <c r="B15" s="4">
        <f>-PPMT('With Loan'!$D$41/12,'30% Down Amortization'!$A15,360,'With Loan'!$D$40,0,0)</f>
        <v>409.16007849064312</v>
      </c>
      <c r="C15" s="4">
        <f>-IPMT('With Loan'!$D$41/12,'30% Down Amortization'!$A15,360,'With Loan'!$D$40,0,0)</f>
        <v>806.48593129478218</v>
      </c>
      <c r="D15" s="4">
        <f t="shared" si="0"/>
        <v>1215.6460097854253</v>
      </c>
      <c r="E15" s="3">
        <f t="shared" si="1"/>
        <v>257666.33793583966</v>
      </c>
    </row>
    <row r="16" spans="1:5" x14ac:dyDescent="0.25">
      <c r="A16">
        <v>13</v>
      </c>
      <c r="B16" s="4">
        <f>-PPMT('With Loan'!$D$41/12,'30% Down Amortization'!$A16,360,'With Loan'!$D$40,0,0)</f>
        <v>410.43870373592642</v>
      </c>
      <c r="C16" s="4">
        <f>-IPMT('With Loan'!$D$41/12,'30% Down Amortization'!$A16,360,'With Loan'!$D$40,0,0)</f>
        <v>805.20730604949892</v>
      </c>
      <c r="D16" s="4">
        <f t="shared" si="0"/>
        <v>1215.6460097854253</v>
      </c>
      <c r="E16" s="3">
        <f t="shared" si="1"/>
        <v>257255.89923210375</v>
      </c>
    </row>
    <row r="17" spans="1:5" x14ac:dyDescent="0.25">
      <c r="A17">
        <v>14</v>
      </c>
      <c r="B17" s="4">
        <f>-PPMT('With Loan'!$D$41/12,'30% Down Amortization'!$A17,360,'With Loan'!$D$40,0,0)</f>
        <v>411.72132468510125</v>
      </c>
      <c r="C17" s="4">
        <f>-IPMT('With Loan'!$D$41/12,'30% Down Amortization'!$A17,360,'With Loan'!$D$40,0,0)</f>
        <v>803.92468510032404</v>
      </c>
      <c r="D17" s="4">
        <f t="shared" si="0"/>
        <v>1215.6460097854253</v>
      </c>
      <c r="E17" s="3">
        <f t="shared" si="1"/>
        <v>256844.17790741866</v>
      </c>
    </row>
    <row r="18" spans="1:5" x14ac:dyDescent="0.25">
      <c r="A18">
        <v>15</v>
      </c>
      <c r="B18" s="4">
        <f>-PPMT('With Loan'!$D$41/12,'30% Down Amortization'!$A18,360,'With Loan'!$D$40,0,0)</f>
        <v>413.00795382474212</v>
      </c>
      <c r="C18" s="4">
        <f>-IPMT('With Loan'!$D$41/12,'30% Down Amortization'!$A18,360,'With Loan'!$D$40,0,0)</f>
        <v>802.63805596068335</v>
      </c>
      <c r="D18" s="4">
        <f t="shared" si="0"/>
        <v>1215.6460097854256</v>
      </c>
      <c r="E18" s="3">
        <f t="shared" si="1"/>
        <v>256431.16995359393</v>
      </c>
    </row>
    <row r="19" spans="1:5" x14ac:dyDescent="0.25">
      <c r="A19">
        <v>16</v>
      </c>
      <c r="B19" s="4">
        <f>-PPMT('With Loan'!$D$41/12,'30% Down Amortization'!$A19,360,'With Loan'!$D$40,0,0)</f>
        <v>414.29860368044444</v>
      </c>
      <c r="C19" s="4">
        <f>-IPMT('With Loan'!$D$41/12,'30% Down Amortization'!$A19,360,'With Loan'!$D$40,0,0)</f>
        <v>801.34740610498091</v>
      </c>
      <c r="D19" s="4">
        <f t="shared" si="0"/>
        <v>1215.6460097854253</v>
      </c>
      <c r="E19" s="3">
        <f t="shared" si="1"/>
        <v>256016.87134991348</v>
      </c>
    </row>
    <row r="20" spans="1:5" x14ac:dyDescent="0.25">
      <c r="A20">
        <v>17</v>
      </c>
      <c r="B20" s="4">
        <f>-PPMT('With Loan'!$D$41/12,'30% Down Amortization'!$A20,360,'With Loan'!$D$40,0,0)</f>
        <v>415.59328681694592</v>
      </c>
      <c r="C20" s="4">
        <f>-IPMT('With Loan'!$D$41/12,'30% Down Amortization'!$A20,360,'With Loan'!$D$40,0,0)</f>
        <v>800.05272296847943</v>
      </c>
      <c r="D20" s="4">
        <f t="shared" si="0"/>
        <v>1215.6460097854253</v>
      </c>
      <c r="E20" s="3">
        <f t="shared" si="1"/>
        <v>255601.27806309654</v>
      </c>
    </row>
    <row r="21" spans="1:5" x14ac:dyDescent="0.25">
      <c r="A21">
        <v>18</v>
      </c>
      <c r="B21" s="4">
        <f>-PPMT('With Loan'!$D$41/12,'30% Down Amortization'!$A21,360,'With Loan'!$D$40,0,0)</f>
        <v>416.89201583824877</v>
      </c>
      <c r="C21" s="4">
        <f>-IPMT('With Loan'!$D$41/12,'30% Down Amortization'!$A21,360,'With Loan'!$D$40,0,0)</f>
        <v>798.75399394717658</v>
      </c>
      <c r="D21" s="4">
        <f t="shared" si="0"/>
        <v>1215.6460097854253</v>
      </c>
      <c r="E21" s="3">
        <f t="shared" si="1"/>
        <v>255184.3860472583</v>
      </c>
    </row>
    <row r="22" spans="1:5" x14ac:dyDescent="0.25">
      <c r="A22">
        <v>19</v>
      </c>
      <c r="B22" s="4">
        <f>-PPMT('With Loan'!$D$41/12,'30% Down Amortization'!$A22,360,'With Loan'!$D$40,0,0)</f>
        <v>418.19480338774326</v>
      </c>
      <c r="C22" s="4">
        <f>-IPMT('With Loan'!$D$41/12,'30% Down Amortization'!$A22,360,'With Loan'!$D$40,0,0)</f>
        <v>797.45120639768209</v>
      </c>
      <c r="D22" s="4">
        <f t="shared" si="0"/>
        <v>1215.6460097854253</v>
      </c>
      <c r="E22" s="3">
        <f t="shared" si="1"/>
        <v>254766.19124387056</v>
      </c>
    </row>
    <row r="23" spans="1:5" x14ac:dyDescent="0.25">
      <c r="A23">
        <v>20</v>
      </c>
      <c r="B23" s="4">
        <f>-PPMT('With Loan'!$D$41/12,'30% Down Amortization'!$A23,360,'With Loan'!$D$40,0,0)</f>
        <v>419.50166214833013</v>
      </c>
      <c r="C23" s="4">
        <f>-IPMT('With Loan'!$D$41/12,'30% Down Amortization'!$A23,360,'With Loan'!$D$40,0,0)</f>
        <v>796.14434763709528</v>
      </c>
      <c r="D23" s="4">
        <f t="shared" si="0"/>
        <v>1215.6460097854253</v>
      </c>
      <c r="E23" s="3">
        <f t="shared" si="1"/>
        <v>254346.68958172222</v>
      </c>
    </row>
    <row r="24" spans="1:5" x14ac:dyDescent="0.25">
      <c r="A24">
        <v>21</v>
      </c>
      <c r="B24" s="4">
        <f>-PPMT('With Loan'!$D$41/12,'30% Down Amortization'!$A24,360,'With Loan'!$D$40,0,0)</f>
        <v>420.81260484254358</v>
      </c>
      <c r="C24" s="4">
        <f>-IPMT('With Loan'!$D$41/12,'30% Down Amortization'!$A24,360,'With Loan'!$D$40,0,0)</f>
        <v>794.83340494288188</v>
      </c>
      <c r="D24" s="4">
        <f t="shared" si="0"/>
        <v>1215.6460097854256</v>
      </c>
      <c r="E24" s="3">
        <f t="shared" si="1"/>
        <v>253925.87697687969</v>
      </c>
    </row>
    <row r="25" spans="1:5" x14ac:dyDescent="0.25">
      <c r="A25">
        <v>22</v>
      </c>
      <c r="B25" s="4">
        <f>-PPMT('With Loan'!$D$41/12,'30% Down Amortization'!$A25,360,'With Loan'!$D$40,0,0)</f>
        <v>422.12764423267652</v>
      </c>
      <c r="C25" s="4">
        <f>-IPMT('With Loan'!$D$41/12,'30% Down Amortization'!$A25,360,'With Loan'!$D$40,0,0)</f>
        <v>793.51836555274883</v>
      </c>
      <c r="D25" s="4">
        <f t="shared" si="0"/>
        <v>1215.6460097854253</v>
      </c>
      <c r="E25" s="3">
        <f t="shared" si="1"/>
        <v>253503.74933264701</v>
      </c>
    </row>
    <row r="26" spans="1:5" x14ac:dyDescent="0.25">
      <c r="A26">
        <v>23</v>
      </c>
      <c r="B26" s="4">
        <f>-PPMT('With Loan'!$D$41/12,'30% Down Amortization'!$A26,360,'With Loan'!$D$40,0,0)</f>
        <v>423.44679312090369</v>
      </c>
      <c r="C26" s="4">
        <f>-IPMT('With Loan'!$D$41/12,'30% Down Amortization'!$A26,360,'With Loan'!$D$40,0,0)</f>
        <v>792.19921666452171</v>
      </c>
      <c r="D26" s="4">
        <f t="shared" si="0"/>
        <v>1215.6460097854253</v>
      </c>
      <c r="E26" s="3">
        <f t="shared" si="1"/>
        <v>253080.30253952611</v>
      </c>
    </row>
    <row r="27" spans="1:5" x14ac:dyDescent="0.25">
      <c r="A27">
        <v>24</v>
      </c>
      <c r="B27" s="4">
        <f>-PPMT('With Loan'!$D$41/12,'30% Down Amortization'!$A27,360,'With Loan'!$D$40,0,0)</f>
        <v>424.77006434940648</v>
      </c>
      <c r="C27" s="4">
        <f>-IPMT('With Loan'!$D$41/12,'30% Down Amortization'!$A27,360,'With Loan'!$D$40,0,0)</f>
        <v>790.87594543601892</v>
      </c>
      <c r="D27" s="4">
        <f t="shared" si="0"/>
        <v>1215.6460097854253</v>
      </c>
      <c r="E27" s="3">
        <f t="shared" si="1"/>
        <v>252655.5324751767</v>
      </c>
    </row>
    <row r="28" spans="1:5" x14ac:dyDescent="0.25">
      <c r="A28">
        <v>25</v>
      </c>
      <c r="B28" s="4">
        <f>-PPMT('With Loan'!$D$41/12,'30% Down Amortization'!$A28,360,'With Loan'!$D$40,0,0)</f>
        <v>426.09747080049834</v>
      </c>
      <c r="C28" s="4">
        <f>-IPMT('With Loan'!$D$41/12,'30% Down Amortization'!$A28,360,'With Loan'!$D$40,0,0)</f>
        <v>789.54853898492706</v>
      </c>
      <c r="D28" s="4">
        <f t="shared" si="0"/>
        <v>1215.6460097854253</v>
      </c>
      <c r="E28" s="3">
        <f t="shared" si="1"/>
        <v>252229.4350043762</v>
      </c>
    </row>
    <row r="29" spans="1:5" x14ac:dyDescent="0.25">
      <c r="A29">
        <v>26</v>
      </c>
      <c r="B29" s="4">
        <f>-PPMT('With Loan'!$D$41/12,'30% Down Amortization'!$A29,360,'With Loan'!$D$40,0,0)</f>
        <v>427.42902539674992</v>
      </c>
      <c r="C29" s="4">
        <f>-IPMT('With Loan'!$D$41/12,'30% Down Amortization'!$A29,360,'With Loan'!$D$40,0,0)</f>
        <v>788.21698438867543</v>
      </c>
      <c r="D29" s="4">
        <f t="shared" si="0"/>
        <v>1215.6460097854253</v>
      </c>
      <c r="E29" s="3">
        <f t="shared" si="1"/>
        <v>251802.00597897943</v>
      </c>
    </row>
    <row r="30" spans="1:5" x14ac:dyDescent="0.25">
      <c r="A30">
        <v>27</v>
      </c>
      <c r="B30" s="4">
        <f>-PPMT('With Loan'!$D$41/12,'30% Down Amortization'!$A30,360,'With Loan'!$D$40,0,0)</f>
        <v>428.76474110111474</v>
      </c>
      <c r="C30" s="4">
        <f>-IPMT('With Loan'!$D$41/12,'30% Down Amortization'!$A30,360,'With Loan'!$D$40,0,0)</f>
        <v>786.88126868431061</v>
      </c>
      <c r="D30" s="4">
        <f t="shared" si="0"/>
        <v>1215.6460097854253</v>
      </c>
      <c r="E30" s="3">
        <f t="shared" si="1"/>
        <v>251373.2412378783</v>
      </c>
    </row>
    <row r="31" spans="1:5" x14ac:dyDescent="0.25">
      <c r="A31">
        <v>28</v>
      </c>
      <c r="B31" s="4">
        <f>-PPMT('With Loan'!$D$41/12,'30% Down Amortization'!$A31,360,'With Loan'!$D$40,0,0)</f>
        <v>430.10463091705566</v>
      </c>
      <c r="C31" s="4">
        <f>-IPMT('With Loan'!$D$41/12,'30% Down Amortization'!$A31,360,'With Loan'!$D$40,0,0)</f>
        <v>785.54137886836975</v>
      </c>
      <c r="D31" s="4">
        <f t="shared" si="0"/>
        <v>1215.6460097854253</v>
      </c>
      <c r="E31" s="3">
        <f t="shared" si="1"/>
        <v>250943.13660696126</v>
      </c>
    </row>
    <row r="32" spans="1:5" x14ac:dyDescent="0.25">
      <c r="A32">
        <v>29</v>
      </c>
      <c r="B32" s="4">
        <f>-PPMT('With Loan'!$D$41/12,'30% Down Amortization'!$A32,360,'With Loan'!$D$40,0,0)</f>
        <v>431.44870788867155</v>
      </c>
      <c r="C32" s="4">
        <f>-IPMT('With Loan'!$D$41/12,'30% Down Amortization'!$A32,360,'With Loan'!$D$40,0,0)</f>
        <v>784.19730189675386</v>
      </c>
      <c r="D32" s="4">
        <f t="shared" si="0"/>
        <v>1215.6460097854253</v>
      </c>
      <c r="E32" s="3">
        <f t="shared" si="1"/>
        <v>250511.6878990726</v>
      </c>
    </row>
    <row r="33" spans="1:5" x14ac:dyDescent="0.25">
      <c r="A33">
        <v>30</v>
      </c>
      <c r="B33" s="4">
        <f>-PPMT('With Loan'!$D$41/12,'30% Down Amortization'!$A33,360,'With Loan'!$D$40,0,0)</f>
        <v>432.79698510082369</v>
      </c>
      <c r="C33" s="4">
        <f>-IPMT('With Loan'!$D$41/12,'30% Down Amortization'!$A33,360,'With Loan'!$D$40,0,0)</f>
        <v>782.84902468460166</v>
      </c>
      <c r="D33" s="4">
        <f t="shared" si="0"/>
        <v>1215.6460097854253</v>
      </c>
      <c r="E33" s="3">
        <f t="shared" si="1"/>
        <v>250078.89091397179</v>
      </c>
    </row>
    <row r="34" spans="1:5" x14ac:dyDescent="0.25">
      <c r="A34">
        <v>31</v>
      </c>
      <c r="B34" s="4">
        <f>-PPMT('With Loan'!$D$41/12,'30% Down Amortization'!$A34,360,'With Loan'!$D$40,0,0)</f>
        <v>434.14947567926373</v>
      </c>
      <c r="C34" s="4">
        <f>-IPMT('With Loan'!$D$41/12,'30% Down Amortization'!$A34,360,'With Loan'!$D$40,0,0)</f>
        <v>781.49653410616179</v>
      </c>
      <c r="D34" s="4">
        <f t="shared" si="0"/>
        <v>1215.6460097854256</v>
      </c>
      <c r="E34" s="3">
        <f t="shared" ref="E34:E97" si="2">E33-B34</f>
        <v>249644.74143829252</v>
      </c>
    </row>
    <row r="35" spans="1:5" x14ac:dyDescent="0.25">
      <c r="A35">
        <v>32</v>
      </c>
      <c r="B35" s="4">
        <f>-PPMT('With Loan'!$D$41/12,'30% Down Amortization'!$A35,360,'With Loan'!$D$40,0,0)</f>
        <v>435.50619279076142</v>
      </c>
      <c r="C35" s="4">
        <f>-IPMT('With Loan'!$D$41/12,'30% Down Amortization'!$A35,360,'With Loan'!$D$40,0,0)</f>
        <v>780.13981699466399</v>
      </c>
      <c r="D35" s="4">
        <f t="shared" si="0"/>
        <v>1215.6460097854253</v>
      </c>
      <c r="E35" s="3">
        <f t="shared" si="2"/>
        <v>249209.23524550177</v>
      </c>
    </row>
    <row r="36" spans="1:5" x14ac:dyDescent="0.25">
      <c r="A36">
        <v>33</v>
      </c>
      <c r="B36" s="4">
        <f>-PPMT('With Loan'!$D$41/12,'30% Down Amortization'!$A36,360,'With Loan'!$D$40,0,0)</f>
        <v>436.86714964323249</v>
      </c>
      <c r="C36" s="4">
        <f>-IPMT('With Loan'!$D$41/12,'30% Down Amortization'!$A36,360,'With Loan'!$D$40,0,0)</f>
        <v>778.77886014219291</v>
      </c>
      <c r="D36" s="4">
        <f t="shared" si="0"/>
        <v>1215.6460097854253</v>
      </c>
      <c r="E36" s="3">
        <f t="shared" si="2"/>
        <v>248772.36809585855</v>
      </c>
    </row>
    <row r="37" spans="1:5" x14ac:dyDescent="0.25">
      <c r="A37">
        <v>34</v>
      </c>
      <c r="B37" s="4">
        <f>-PPMT('With Loan'!$D$41/12,'30% Down Amortization'!$A37,360,'With Loan'!$D$40,0,0)</f>
        <v>438.23235948586756</v>
      </c>
      <c r="C37" s="4">
        <f>-IPMT('With Loan'!$D$41/12,'30% Down Amortization'!$A37,360,'With Loan'!$D$40,0,0)</f>
        <v>777.41365029955784</v>
      </c>
      <c r="D37" s="4">
        <f t="shared" si="0"/>
        <v>1215.6460097854253</v>
      </c>
      <c r="E37" s="3">
        <f t="shared" si="2"/>
        <v>248334.13573637267</v>
      </c>
    </row>
    <row r="38" spans="1:5" x14ac:dyDescent="0.25">
      <c r="A38">
        <v>35</v>
      </c>
      <c r="B38" s="4">
        <f>-PPMT('With Loan'!$D$41/12,'30% Down Amortization'!$A38,360,'With Loan'!$D$40,0,0)</f>
        <v>439.60183560926106</v>
      </c>
      <c r="C38" s="4">
        <f>-IPMT('With Loan'!$D$41/12,'30% Down Amortization'!$A38,360,'With Loan'!$D$40,0,0)</f>
        <v>776.04417417616435</v>
      </c>
      <c r="D38" s="4">
        <f t="shared" si="0"/>
        <v>1215.6460097854253</v>
      </c>
      <c r="E38" s="3">
        <f t="shared" si="2"/>
        <v>247894.5339007634</v>
      </c>
    </row>
    <row r="39" spans="1:5" x14ac:dyDescent="0.25">
      <c r="A39">
        <v>36</v>
      </c>
      <c r="B39" s="4">
        <f>-PPMT('With Loan'!$D$41/12,'30% Down Amortization'!$A39,360,'With Loan'!$D$40,0,0)</f>
        <v>440.9755913455399</v>
      </c>
      <c r="C39" s="4">
        <f>-IPMT('With Loan'!$D$41/12,'30% Down Amortization'!$A39,360,'With Loan'!$D$40,0,0)</f>
        <v>774.67041843988545</v>
      </c>
      <c r="D39" s="4">
        <f t="shared" si="0"/>
        <v>1215.6460097854253</v>
      </c>
      <c r="E39" s="3">
        <f t="shared" si="2"/>
        <v>247453.55830941786</v>
      </c>
    </row>
    <row r="40" spans="1:5" x14ac:dyDescent="0.25">
      <c r="A40">
        <v>37</v>
      </c>
      <c r="B40" s="4">
        <f>-PPMT('With Loan'!$D$41/12,'30% Down Amortization'!$A40,360,'With Loan'!$D$40,0,0)</f>
        <v>442.35364006849471</v>
      </c>
      <c r="C40" s="4">
        <f>-IPMT('With Loan'!$D$41/12,'30% Down Amortization'!$A40,360,'With Loan'!$D$40,0,0)</f>
        <v>773.29236971693069</v>
      </c>
      <c r="D40" s="4">
        <f t="shared" si="0"/>
        <v>1215.6460097854253</v>
      </c>
      <c r="E40" s="3">
        <f t="shared" si="2"/>
        <v>247011.20466934936</v>
      </c>
    </row>
    <row r="41" spans="1:5" x14ac:dyDescent="0.25">
      <c r="A41">
        <v>38</v>
      </c>
      <c r="B41" s="4">
        <f>-PPMT('With Loan'!$D$41/12,'30% Down Amortization'!$A41,360,'With Loan'!$D$40,0,0)</f>
        <v>443.73599519370879</v>
      </c>
      <c r="C41" s="4">
        <f>-IPMT('With Loan'!$D$41/12,'30% Down Amortization'!$A41,360,'With Loan'!$D$40,0,0)</f>
        <v>771.91001459171673</v>
      </c>
      <c r="D41" s="4">
        <f t="shared" si="0"/>
        <v>1215.6460097854256</v>
      </c>
      <c r="E41" s="3">
        <f t="shared" si="2"/>
        <v>246567.46867415565</v>
      </c>
    </row>
    <row r="42" spans="1:5" x14ac:dyDescent="0.25">
      <c r="A42">
        <v>39</v>
      </c>
      <c r="B42" s="4">
        <f>-PPMT('With Loan'!$D$41/12,'30% Down Amortization'!$A42,360,'With Loan'!$D$40,0,0)</f>
        <v>445.12267017868913</v>
      </c>
      <c r="C42" s="4">
        <f>-IPMT('With Loan'!$D$41/12,'30% Down Amortization'!$A42,360,'With Loan'!$D$40,0,0)</f>
        <v>770.52333960673616</v>
      </c>
      <c r="D42" s="4">
        <f t="shared" si="0"/>
        <v>1215.6460097854253</v>
      </c>
      <c r="E42" s="3">
        <f t="shared" si="2"/>
        <v>246122.34600397697</v>
      </c>
    </row>
    <row r="43" spans="1:5" x14ac:dyDescent="0.25">
      <c r="A43">
        <v>40</v>
      </c>
      <c r="B43" s="4">
        <f>-PPMT('With Loan'!$D$41/12,'30% Down Amortization'!$A43,360,'With Loan'!$D$40,0,0)</f>
        <v>446.5136785229974</v>
      </c>
      <c r="C43" s="4">
        <f>-IPMT('With Loan'!$D$41/12,'30% Down Amortization'!$A43,360,'With Loan'!$D$40,0,0)</f>
        <v>769.1323312624279</v>
      </c>
      <c r="D43" s="4">
        <f t="shared" si="0"/>
        <v>1215.6460097854253</v>
      </c>
      <c r="E43" s="3">
        <f t="shared" si="2"/>
        <v>245675.83232545399</v>
      </c>
    </row>
    <row r="44" spans="1:5" x14ac:dyDescent="0.25">
      <c r="A44">
        <v>41</v>
      </c>
      <c r="B44" s="4">
        <f>-PPMT('With Loan'!$D$41/12,'30% Down Amortization'!$A44,360,'With Loan'!$D$40,0,0)</f>
        <v>447.9090337683819</v>
      </c>
      <c r="C44" s="4">
        <f>-IPMT('With Loan'!$D$41/12,'30% Down Amortization'!$A44,360,'With Loan'!$D$40,0,0)</f>
        <v>767.7369760170435</v>
      </c>
      <c r="D44" s="4">
        <f t="shared" si="0"/>
        <v>1215.6460097854253</v>
      </c>
      <c r="E44" s="3">
        <f t="shared" si="2"/>
        <v>245227.92329168561</v>
      </c>
    </row>
    <row r="45" spans="1:5" x14ac:dyDescent="0.25">
      <c r="A45">
        <v>42</v>
      </c>
      <c r="B45" s="4">
        <f>-PPMT('With Loan'!$D$41/12,'30% Down Amortization'!$A45,360,'With Loan'!$D$40,0,0)</f>
        <v>449.30874949890807</v>
      </c>
      <c r="C45" s="4">
        <f>-IPMT('With Loan'!$D$41/12,'30% Down Amortization'!$A45,360,'With Loan'!$D$40,0,0)</f>
        <v>766.33726028651722</v>
      </c>
      <c r="D45" s="4">
        <f t="shared" si="0"/>
        <v>1215.6460097854253</v>
      </c>
      <c r="E45" s="3">
        <f t="shared" si="2"/>
        <v>244778.6145421867</v>
      </c>
    </row>
    <row r="46" spans="1:5" x14ac:dyDescent="0.25">
      <c r="A46">
        <v>43</v>
      </c>
      <c r="B46" s="4">
        <f>-PPMT('With Loan'!$D$41/12,'30% Down Amortization'!$A46,360,'With Loan'!$D$40,0,0)</f>
        <v>450.71283934109221</v>
      </c>
      <c r="C46" s="4">
        <f>-IPMT('With Loan'!$D$41/12,'30% Down Amortization'!$A46,360,'With Loan'!$D$40,0,0)</f>
        <v>764.93317044433331</v>
      </c>
      <c r="D46" s="4">
        <f t="shared" si="0"/>
        <v>1215.6460097854256</v>
      </c>
      <c r="E46" s="3">
        <f t="shared" si="2"/>
        <v>244327.90170284561</v>
      </c>
    </row>
    <row r="47" spans="1:5" x14ac:dyDescent="0.25">
      <c r="A47">
        <v>44</v>
      </c>
      <c r="B47" s="4">
        <f>-PPMT('With Loan'!$D$41/12,'30% Down Amortization'!$A47,360,'With Loan'!$D$40,0,0)</f>
        <v>452.1213169640331</v>
      </c>
      <c r="C47" s="4">
        <f>-IPMT('With Loan'!$D$41/12,'30% Down Amortization'!$A47,360,'With Loan'!$D$40,0,0)</f>
        <v>763.52469282139225</v>
      </c>
      <c r="D47" s="4">
        <f t="shared" si="0"/>
        <v>1215.6460097854253</v>
      </c>
      <c r="E47" s="3">
        <f t="shared" si="2"/>
        <v>243875.78038588158</v>
      </c>
    </row>
    <row r="48" spans="1:5" x14ac:dyDescent="0.25">
      <c r="A48">
        <v>45</v>
      </c>
      <c r="B48" s="4">
        <f>-PPMT('With Loan'!$D$41/12,'30% Down Amortization'!$A48,360,'With Loan'!$D$40,0,0)</f>
        <v>453.53419607954572</v>
      </c>
      <c r="C48" s="4">
        <f>-IPMT('With Loan'!$D$41/12,'30% Down Amortization'!$A48,360,'With Loan'!$D$40,0,0)</f>
        <v>762.11181370587963</v>
      </c>
      <c r="D48" s="4">
        <f t="shared" si="0"/>
        <v>1215.6460097854253</v>
      </c>
      <c r="E48" s="3">
        <f t="shared" si="2"/>
        <v>243422.24618980204</v>
      </c>
    </row>
    <row r="49" spans="1:5" x14ac:dyDescent="0.25">
      <c r="A49">
        <v>46</v>
      </c>
      <c r="B49" s="4">
        <f>-PPMT('With Loan'!$D$41/12,'30% Down Amortization'!$A49,360,'With Loan'!$D$40,0,0)</f>
        <v>454.95149044229424</v>
      </c>
      <c r="C49" s="4">
        <f>-IPMT('With Loan'!$D$41/12,'30% Down Amortization'!$A49,360,'With Loan'!$D$40,0,0)</f>
        <v>760.69451934313122</v>
      </c>
      <c r="D49" s="4">
        <f t="shared" si="0"/>
        <v>1215.6460097854256</v>
      </c>
      <c r="E49" s="3">
        <f t="shared" si="2"/>
        <v>242967.29469935974</v>
      </c>
    </row>
    <row r="50" spans="1:5" x14ac:dyDescent="0.25">
      <c r="A50">
        <v>47</v>
      </c>
      <c r="B50" s="4">
        <f>-PPMT('With Loan'!$D$41/12,'30% Down Amortization'!$A50,360,'With Loan'!$D$40,0,0)</f>
        <v>456.37321384992646</v>
      </c>
      <c r="C50" s="4">
        <f>-IPMT('With Loan'!$D$41/12,'30% Down Amortization'!$A50,360,'With Loan'!$D$40,0,0)</f>
        <v>759.27279593549883</v>
      </c>
      <c r="D50" s="4">
        <f t="shared" si="0"/>
        <v>1215.6460097854253</v>
      </c>
      <c r="E50" s="3">
        <f t="shared" si="2"/>
        <v>242510.92148550981</v>
      </c>
    </row>
    <row r="51" spans="1:5" x14ac:dyDescent="0.25">
      <c r="A51">
        <v>48</v>
      </c>
      <c r="B51" s="4">
        <f>-PPMT('With Loan'!$D$41/12,'30% Down Amortization'!$A51,360,'With Loan'!$D$40,0,0)</f>
        <v>457.79938014320749</v>
      </c>
      <c r="C51" s="4">
        <f>-IPMT('With Loan'!$D$41/12,'30% Down Amortization'!$A51,360,'With Loan'!$D$40,0,0)</f>
        <v>757.84662964221786</v>
      </c>
      <c r="D51" s="4">
        <f t="shared" si="0"/>
        <v>1215.6460097854253</v>
      </c>
      <c r="E51" s="3">
        <f t="shared" si="2"/>
        <v>242053.12210536661</v>
      </c>
    </row>
    <row r="52" spans="1:5" x14ac:dyDescent="0.25">
      <c r="A52">
        <v>49</v>
      </c>
      <c r="B52" s="4">
        <f>-PPMT('With Loan'!$D$41/12,'30% Down Amortization'!$A52,360,'With Loan'!$D$40,0,0)</f>
        <v>459.23000320615489</v>
      </c>
      <c r="C52" s="4">
        <f>-IPMT('With Loan'!$D$41/12,'30% Down Amortization'!$A52,360,'With Loan'!$D$40,0,0)</f>
        <v>756.41600657927052</v>
      </c>
      <c r="D52" s="4">
        <f t="shared" si="0"/>
        <v>1215.6460097854253</v>
      </c>
      <c r="E52" s="3">
        <f t="shared" si="2"/>
        <v>241593.89210216046</v>
      </c>
    </row>
    <row r="53" spans="1:5" x14ac:dyDescent="0.25">
      <c r="A53">
        <v>50</v>
      </c>
      <c r="B53" s="4">
        <f>-PPMT('With Loan'!$D$41/12,'30% Down Amortization'!$A53,360,'With Loan'!$D$40,0,0)</f>
        <v>460.66509696617419</v>
      </c>
      <c r="C53" s="4">
        <f>-IPMT('With Loan'!$D$41/12,'30% Down Amortization'!$A53,360,'With Loan'!$D$40,0,0)</f>
        <v>754.98091281925133</v>
      </c>
      <c r="D53" s="4">
        <f t="shared" si="0"/>
        <v>1215.6460097854256</v>
      </c>
      <c r="E53" s="3">
        <f t="shared" si="2"/>
        <v>241133.22700519429</v>
      </c>
    </row>
    <row r="54" spans="1:5" x14ac:dyDescent="0.25">
      <c r="A54">
        <v>51</v>
      </c>
      <c r="B54" s="4">
        <f>-PPMT('With Loan'!$D$41/12,'30% Down Amortization'!$A54,360,'With Loan'!$D$40,0,0)</f>
        <v>462.10467539419346</v>
      </c>
      <c r="C54" s="4">
        <f>-IPMT('With Loan'!$D$41/12,'30% Down Amortization'!$A54,360,'With Loan'!$D$40,0,0)</f>
        <v>753.54133439123189</v>
      </c>
      <c r="D54" s="4">
        <f t="shared" si="0"/>
        <v>1215.6460097854253</v>
      </c>
      <c r="E54" s="3">
        <f t="shared" si="2"/>
        <v>240671.1223298001</v>
      </c>
    </row>
    <row r="55" spans="1:5" x14ac:dyDescent="0.25">
      <c r="A55">
        <v>52</v>
      </c>
      <c r="B55" s="4">
        <f>-PPMT('With Loan'!$D$41/12,'30% Down Amortization'!$A55,360,'With Loan'!$D$40,0,0)</f>
        <v>463.54875250480035</v>
      </c>
      <c r="C55" s="4">
        <f>-IPMT('With Loan'!$D$41/12,'30% Down Amortization'!$A55,360,'With Loan'!$D$40,0,0)</f>
        <v>752.09725728062494</v>
      </c>
      <c r="D55" s="4">
        <f t="shared" si="0"/>
        <v>1215.6460097854253</v>
      </c>
      <c r="E55" s="3">
        <f t="shared" si="2"/>
        <v>240207.57357729529</v>
      </c>
    </row>
    <row r="56" spans="1:5" x14ac:dyDescent="0.25">
      <c r="A56">
        <v>53</v>
      </c>
      <c r="B56" s="4">
        <f>-PPMT('With Loan'!$D$41/12,'30% Down Amortization'!$A56,360,'With Loan'!$D$40,0,0)</f>
        <v>464.99734235637783</v>
      </c>
      <c r="C56" s="4">
        <f>-IPMT('With Loan'!$D$41/12,'30% Down Amortization'!$A56,360,'With Loan'!$D$40,0,0)</f>
        <v>750.64866742904735</v>
      </c>
      <c r="D56" s="4">
        <f t="shared" si="0"/>
        <v>1215.6460097854251</v>
      </c>
      <c r="E56" s="3">
        <f t="shared" si="2"/>
        <v>239742.57623493893</v>
      </c>
    </row>
    <row r="57" spans="1:5" x14ac:dyDescent="0.25">
      <c r="A57">
        <v>54</v>
      </c>
      <c r="B57" s="4">
        <f>-PPMT('With Loan'!$D$41/12,'30% Down Amortization'!$A57,360,'With Loan'!$D$40,0,0)</f>
        <v>466.45045905124158</v>
      </c>
      <c r="C57" s="4">
        <f>-IPMT('With Loan'!$D$41/12,'30% Down Amortization'!$A57,360,'With Loan'!$D$40,0,0)</f>
        <v>749.19555073418383</v>
      </c>
      <c r="D57" s="4">
        <f t="shared" si="0"/>
        <v>1215.6460097854253</v>
      </c>
      <c r="E57" s="3">
        <f t="shared" si="2"/>
        <v>239276.12577588769</v>
      </c>
    </row>
    <row r="58" spans="1:5" x14ac:dyDescent="0.25">
      <c r="A58">
        <v>55</v>
      </c>
      <c r="B58" s="4">
        <f>-PPMT('With Loan'!$D$41/12,'30% Down Amortization'!$A58,360,'With Loan'!$D$40,0,0)</f>
        <v>467.90811673577662</v>
      </c>
      <c r="C58" s="4">
        <f>-IPMT('With Loan'!$D$41/12,'30% Down Amortization'!$A58,360,'With Loan'!$D$40,0,0)</f>
        <v>747.73789304964862</v>
      </c>
      <c r="D58" s="4">
        <f t="shared" si="0"/>
        <v>1215.6460097854251</v>
      </c>
      <c r="E58" s="3">
        <f t="shared" si="2"/>
        <v>238808.21765915191</v>
      </c>
    </row>
    <row r="59" spans="1:5" x14ac:dyDescent="0.25">
      <c r="A59">
        <v>56</v>
      </c>
      <c r="B59" s="4">
        <f>-PPMT('With Loan'!$D$41/12,'30% Down Amortization'!$A59,360,'With Loan'!$D$40,0,0)</f>
        <v>469.37032960057599</v>
      </c>
      <c r="C59" s="4">
        <f>-IPMT('With Loan'!$D$41/12,'30% Down Amortization'!$A59,360,'With Loan'!$D$40,0,0)</f>
        <v>746.27568018484942</v>
      </c>
      <c r="D59" s="4">
        <f t="shared" si="0"/>
        <v>1215.6460097854253</v>
      </c>
      <c r="E59" s="3">
        <f t="shared" si="2"/>
        <v>238338.84732955132</v>
      </c>
    </row>
    <row r="60" spans="1:5" x14ac:dyDescent="0.25">
      <c r="A60">
        <v>57</v>
      </c>
      <c r="B60" s="4">
        <f>-PPMT('With Loan'!$D$41/12,'30% Down Amortization'!$A60,360,'With Loan'!$D$40,0,0)</f>
        <v>470.83711188057782</v>
      </c>
      <c r="C60" s="4">
        <f>-IPMT('With Loan'!$D$41/12,'30% Down Amortization'!$A60,360,'With Loan'!$D$40,0,0)</f>
        <v>744.80889790484741</v>
      </c>
      <c r="D60" s="4">
        <f t="shared" si="0"/>
        <v>1215.6460097854251</v>
      </c>
      <c r="E60" s="3">
        <f t="shared" si="2"/>
        <v>237868.01021767076</v>
      </c>
    </row>
    <row r="61" spans="1:5" x14ac:dyDescent="0.25">
      <c r="A61">
        <v>58</v>
      </c>
      <c r="B61" s="4">
        <f>-PPMT('With Loan'!$D$41/12,'30% Down Amortization'!$A61,360,'With Loan'!$D$40,0,0)</f>
        <v>472.30847785520461</v>
      </c>
      <c r="C61" s="4">
        <f>-IPMT('With Loan'!$D$41/12,'30% Down Amortization'!$A61,360,'With Loan'!$D$40,0,0)</f>
        <v>743.33753193022073</v>
      </c>
      <c r="D61" s="4">
        <f t="shared" si="0"/>
        <v>1215.6460097854253</v>
      </c>
      <c r="E61" s="3">
        <f t="shared" si="2"/>
        <v>237395.70173981556</v>
      </c>
    </row>
    <row r="62" spans="1:5" x14ac:dyDescent="0.25">
      <c r="A62">
        <v>59</v>
      </c>
      <c r="B62" s="4">
        <f>-PPMT('With Loan'!$D$41/12,'30% Down Amortization'!$A62,360,'With Loan'!$D$40,0,0)</f>
        <v>473.78444184850213</v>
      </c>
      <c r="C62" s="4">
        <f>-IPMT('With Loan'!$D$41/12,'30% Down Amortization'!$A62,360,'With Loan'!$D$40,0,0)</f>
        <v>741.86156793692328</v>
      </c>
      <c r="D62" s="4">
        <f t="shared" si="0"/>
        <v>1215.6460097854253</v>
      </c>
      <c r="E62" s="3">
        <f t="shared" si="2"/>
        <v>236921.91729796707</v>
      </c>
    </row>
    <row r="63" spans="1:5" x14ac:dyDescent="0.25">
      <c r="A63">
        <v>60</v>
      </c>
      <c r="B63" s="4">
        <f>-PPMT('With Loan'!$D$41/12,'30% Down Amortization'!$A63,360,'With Loan'!$D$40,0,0)</f>
        <v>475.26501822927872</v>
      </c>
      <c r="C63" s="4">
        <f>-IPMT('With Loan'!$D$41/12,'30% Down Amortization'!$A63,360,'With Loan'!$D$40,0,0)</f>
        <v>740.38099155614668</v>
      </c>
      <c r="D63" s="4">
        <f t="shared" si="0"/>
        <v>1215.6460097854253</v>
      </c>
      <c r="E63" s="3">
        <f t="shared" si="2"/>
        <v>236446.65227973778</v>
      </c>
    </row>
    <row r="64" spans="1:5" x14ac:dyDescent="0.25">
      <c r="A64">
        <v>61</v>
      </c>
      <c r="B64" s="4">
        <f>-PPMT('With Loan'!$D$41/12,'30% Down Amortization'!$A64,360,'With Loan'!$D$40,0,0)</f>
        <v>476.75022141124515</v>
      </c>
      <c r="C64" s="4">
        <f>-IPMT('With Loan'!$D$41/12,'30% Down Amortization'!$A64,360,'With Loan'!$D$40,0,0)</f>
        <v>738.89578837418037</v>
      </c>
      <c r="D64" s="4">
        <f t="shared" si="0"/>
        <v>1215.6460097854256</v>
      </c>
      <c r="E64" s="3">
        <f t="shared" si="2"/>
        <v>235969.90205832655</v>
      </c>
    </row>
    <row r="65" spans="1:5" x14ac:dyDescent="0.25">
      <c r="A65">
        <v>62</v>
      </c>
      <c r="B65" s="4">
        <f>-PPMT('With Loan'!$D$41/12,'30% Down Amortization'!$A65,360,'With Loan'!$D$40,0,0)</f>
        <v>478.24006585315522</v>
      </c>
      <c r="C65" s="4">
        <f>-IPMT('With Loan'!$D$41/12,'30% Down Amortization'!$A65,360,'With Loan'!$D$40,0,0)</f>
        <v>737.40594393227002</v>
      </c>
      <c r="D65" s="4">
        <f t="shared" si="0"/>
        <v>1215.6460097854251</v>
      </c>
      <c r="E65" s="3">
        <f t="shared" si="2"/>
        <v>235491.66199247338</v>
      </c>
    </row>
    <row r="66" spans="1:5" x14ac:dyDescent="0.25">
      <c r="A66">
        <v>63</v>
      </c>
      <c r="B66" s="4">
        <f>-PPMT('With Loan'!$D$41/12,'30% Down Amortization'!$A66,360,'With Loan'!$D$40,0,0)</f>
        <v>479.73456605894637</v>
      </c>
      <c r="C66" s="4">
        <f>-IPMT('With Loan'!$D$41/12,'30% Down Amortization'!$A66,360,'With Loan'!$D$40,0,0)</f>
        <v>735.91144372647875</v>
      </c>
      <c r="D66" s="4">
        <f t="shared" si="0"/>
        <v>1215.6460097854251</v>
      </c>
      <c r="E66" s="3">
        <f t="shared" si="2"/>
        <v>235011.92742641445</v>
      </c>
    </row>
    <row r="67" spans="1:5" x14ac:dyDescent="0.25">
      <c r="A67">
        <v>64</v>
      </c>
      <c r="B67" s="4">
        <f>-PPMT('With Loan'!$D$41/12,'30% Down Amortization'!$A67,360,'With Loan'!$D$40,0,0)</f>
        <v>481.23373657788068</v>
      </c>
      <c r="C67" s="4">
        <f>-IPMT('With Loan'!$D$41/12,'30% Down Amortization'!$A67,360,'With Loan'!$D$40,0,0)</f>
        <v>734.41227320754467</v>
      </c>
      <c r="D67" s="4">
        <f t="shared" si="0"/>
        <v>1215.6460097854253</v>
      </c>
      <c r="E67" s="3">
        <f t="shared" si="2"/>
        <v>234530.69368983657</v>
      </c>
    </row>
    <row r="68" spans="1:5" x14ac:dyDescent="0.25">
      <c r="A68">
        <v>65</v>
      </c>
      <c r="B68" s="4">
        <f>-PPMT('With Loan'!$D$41/12,'30% Down Amortization'!$A68,360,'With Loan'!$D$40,0,0)</f>
        <v>482.73759200468646</v>
      </c>
      <c r="C68" s="4">
        <f>-IPMT('With Loan'!$D$41/12,'30% Down Amortization'!$A68,360,'With Loan'!$D$40,0,0)</f>
        <v>732.90841778073889</v>
      </c>
      <c r="D68" s="4">
        <f t="shared" si="0"/>
        <v>1215.6460097854253</v>
      </c>
      <c r="E68" s="3">
        <f t="shared" si="2"/>
        <v>234047.95609783189</v>
      </c>
    </row>
    <row r="69" spans="1:5" x14ac:dyDescent="0.25">
      <c r="A69">
        <v>66</v>
      </c>
      <c r="B69" s="4">
        <f>-PPMT('With Loan'!$D$41/12,'30% Down Amortization'!$A69,360,'With Loan'!$D$40,0,0)</f>
        <v>484.24614697970117</v>
      </c>
      <c r="C69" s="4">
        <f>-IPMT('With Loan'!$D$41/12,'30% Down Amortization'!$A69,360,'With Loan'!$D$40,0,0)</f>
        <v>731.39986280572418</v>
      </c>
      <c r="D69" s="4">
        <f t="shared" ref="D69:D132" si="3">B69+C69</f>
        <v>1215.6460097854253</v>
      </c>
      <c r="E69" s="3">
        <f t="shared" si="2"/>
        <v>233563.70995085218</v>
      </c>
    </row>
    <row r="70" spans="1:5" x14ac:dyDescent="0.25">
      <c r="A70">
        <v>67</v>
      </c>
      <c r="B70" s="4">
        <f>-PPMT('With Loan'!$D$41/12,'30% Down Amortization'!$A70,360,'With Loan'!$D$40,0,0)</f>
        <v>485.75941618901265</v>
      </c>
      <c r="C70" s="4">
        <f>-IPMT('With Loan'!$D$41/12,'30% Down Amortization'!$A70,360,'With Loan'!$D$40,0,0)</f>
        <v>729.88659359641281</v>
      </c>
      <c r="D70" s="4">
        <f t="shared" si="3"/>
        <v>1215.6460097854256</v>
      </c>
      <c r="E70" s="3">
        <f t="shared" si="2"/>
        <v>233077.95053466316</v>
      </c>
    </row>
    <row r="71" spans="1:5" x14ac:dyDescent="0.25">
      <c r="A71">
        <v>68</v>
      </c>
      <c r="B71" s="4">
        <f>-PPMT('With Loan'!$D$41/12,'30% Down Amortization'!$A71,360,'With Loan'!$D$40,0,0)</f>
        <v>487.27741436460343</v>
      </c>
      <c r="C71" s="4">
        <f>-IPMT('With Loan'!$D$41/12,'30% Down Amortization'!$A71,360,'With Loan'!$D$40,0,0)</f>
        <v>728.36859542082209</v>
      </c>
      <c r="D71" s="4">
        <f t="shared" si="3"/>
        <v>1215.6460097854256</v>
      </c>
      <c r="E71" s="3">
        <f t="shared" si="2"/>
        <v>232590.67312029857</v>
      </c>
    </row>
    <row r="72" spans="1:5" x14ac:dyDescent="0.25">
      <c r="A72">
        <v>69</v>
      </c>
      <c r="B72" s="4">
        <f>-PPMT('With Loan'!$D$41/12,'30% Down Amortization'!$A72,360,'With Loan'!$D$40,0,0)</f>
        <v>488.8001562844928</v>
      </c>
      <c r="C72" s="4">
        <f>-IPMT('With Loan'!$D$41/12,'30% Down Amortization'!$A72,360,'With Loan'!$D$40,0,0)</f>
        <v>726.84585350093266</v>
      </c>
      <c r="D72" s="4">
        <f t="shared" si="3"/>
        <v>1215.6460097854256</v>
      </c>
      <c r="E72" s="3">
        <f t="shared" si="2"/>
        <v>232101.87296401407</v>
      </c>
    </row>
    <row r="73" spans="1:5" x14ac:dyDescent="0.25">
      <c r="A73">
        <v>70</v>
      </c>
      <c r="B73" s="4">
        <f>-PPMT('With Loan'!$D$41/12,'30% Down Amortization'!$A73,360,'With Loan'!$D$40,0,0)</f>
        <v>490.32765677288177</v>
      </c>
      <c r="C73" s="4">
        <f>-IPMT('With Loan'!$D$41/12,'30% Down Amortization'!$A73,360,'With Loan'!$D$40,0,0)</f>
        <v>725.31835301254353</v>
      </c>
      <c r="D73" s="4">
        <f t="shared" si="3"/>
        <v>1215.6460097854253</v>
      </c>
      <c r="E73" s="3">
        <f t="shared" si="2"/>
        <v>231611.54530724118</v>
      </c>
    </row>
    <row r="74" spans="1:5" x14ac:dyDescent="0.25">
      <c r="A74">
        <v>71</v>
      </c>
      <c r="B74" s="4">
        <f>-PPMT('With Loan'!$D$41/12,'30% Down Amortization'!$A74,360,'With Loan'!$D$40,0,0)</f>
        <v>491.85993070029713</v>
      </c>
      <c r="C74" s="4">
        <f>-IPMT('With Loan'!$D$41/12,'30% Down Amortization'!$A74,360,'With Loan'!$D$40,0,0)</f>
        <v>723.78607908512834</v>
      </c>
      <c r="D74" s="4">
        <f t="shared" si="3"/>
        <v>1215.6460097854256</v>
      </c>
      <c r="E74" s="3">
        <f t="shared" si="2"/>
        <v>231119.68537654087</v>
      </c>
    </row>
    <row r="75" spans="1:5" x14ac:dyDescent="0.25">
      <c r="A75">
        <v>72</v>
      </c>
      <c r="B75" s="4">
        <f>-PPMT('With Loan'!$D$41/12,'30% Down Amortization'!$A75,360,'With Loan'!$D$40,0,0)</f>
        <v>493.39699298373546</v>
      </c>
      <c r="C75" s="4">
        <f>-IPMT('With Loan'!$D$41/12,'30% Down Amortization'!$A75,360,'With Loan'!$D$40,0,0)</f>
        <v>722.24901680168978</v>
      </c>
      <c r="D75" s="4">
        <f t="shared" si="3"/>
        <v>1215.6460097854251</v>
      </c>
      <c r="E75" s="3">
        <f t="shared" si="2"/>
        <v>230626.28838355714</v>
      </c>
    </row>
    <row r="76" spans="1:5" x14ac:dyDescent="0.25">
      <c r="A76">
        <v>73</v>
      </c>
      <c r="B76" s="4">
        <f>-PPMT('With Loan'!$D$41/12,'30% Down Amortization'!$A76,360,'With Loan'!$D$40,0,0)</f>
        <v>494.93885858680966</v>
      </c>
      <c r="C76" s="4">
        <f>-IPMT('With Loan'!$D$41/12,'30% Down Amortization'!$A76,360,'With Loan'!$D$40,0,0)</f>
        <v>720.70715119861575</v>
      </c>
      <c r="D76" s="4">
        <f t="shared" si="3"/>
        <v>1215.6460097854253</v>
      </c>
      <c r="E76" s="3">
        <f t="shared" si="2"/>
        <v>230131.34952497034</v>
      </c>
    </row>
    <row r="77" spans="1:5" x14ac:dyDescent="0.25">
      <c r="A77">
        <v>74</v>
      </c>
      <c r="B77" s="4">
        <f>-PPMT('With Loan'!$D$41/12,'30% Down Amortization'!$A77,360,'With Loan'!$D$40,0,0)</f>
        <v>496.4855425198935</v>
      </c>
      <c r="C77" s="4">
        <f>-IPMT('With Loan'!$D$41/12,'30% Down Amortization'!$A77,360,'With Loan'!$D$40,0,0)</f>
        <v>719.16046726553191</v>
      </c>
      <c r="D77" s="4">
        <f t="shared" si="3"/>
        <v>1215.6460097854253</v>
      </c>
      <c r="E77" s="3">
        <f t="shared" si="2"/>
        <v>229634.86398245045</v>
      </c>
    </row>
    <row r="78" spans="1:5" x14ac:dyDescent="0.25">
      <c r="A78">
        <v>75</v>
      </c>
      <c r="B78" s="4">
        <f>-PPMT('With Loan'!$D$41/12,'30% Down Amortization'!$A78,360,'With Loan'!$D$40,0,0)</f>
        <v>498.03705984026806</v>
      </c>
      <c r="C78" s="4">
        <f>-IPMT('With Loan'!$D$41/12,'30% Down Amortization'!$A78,360,'With Loan'!$D$40,0,0)</f>
        <v>717.60894994515729</v>
      </c>
      <c r="D78" s="4">
        <f t="shared" si="3"/>
        <v>1215.6460097854253</v>
      </c>
      <c r="E78" s="3">
        <f t="shared" si="2"/>
        <v>229136.82692261017</v>
      </c>
    </row>
    <row r="79" spans="1:5" x14ac:dyDescent="0.25">
      <c r="A79">
        <v>76</v>
      </c>
      <c r="B79" s="4">
        <f>-PPMT('With Loan'!$D$41/12,'30% Down Amortization'!$A79,360,'With Loan'!$D$40,0,0)</f>
        <v>499.59342565226893</v>
      </c>
      <c r="C79" s="4">
        <f>-IPMT('With Loan'!$D$41/12,'30% Down Amortization'!$A79,360,'With Loan'!$D$40,0,0)</f>
        <v>716.05258413315642</v>
      </c>
      <c r="D79" s="4">
        <f t="shared" si="3"/>
        <v>1215.6460097854253</v>
      </c>
      <c r="E79" s="3">
        <f t="shared" si="2"/>
        <v>228637.2334969579</v>
      </c>
    </row>
    <row r="80" spans="1:5" x14ac:dyDescent="0.25">
      <c r="A80">
        <v>77</v>
      </c>
      <c r="B80" s="4">
        <f>-PPMT('With Loan'!$D$41/12,'30% Down Amortization'!$A80,360,'With Loan'!$D$40,0,0)</f>
        <v>501.15465510743229</v>
      </c>
      <c r="C80" s="4">
        <f>-IPMT('With Loan'!$D$41/12,'30% Down Amortization'!$A80,360,'With Loan'!$D$40,0,0)</f>
        <v>714.49135467799294</v>
      </c>
      <c r="D80" s="4">
        <f t="shared" si="3"/>
        <v>1215.6460097854251</v>
      </c>
      <c r="E80" s="3">
        <f t="shared" si="2"/>
        <v>228136.07884185045</v>
      </c>
    </row>
    <row r="81" spans="1:5" x14ac:dyDescent="0.25">
      <c r="A81">
        <v>78</v>
      </c>
      <c r="B81" s="4">
        <f>-PPMT('With Loan'!$D$41/12,'30% Down Amortization'!$A81,360,'With Loan'!$D$40,0,0)</f>
        <v>502.72076340464298</v>
      </c>
      <c r="C81" s="4">
        <f>-IPMT('With Loan'!$D$41/12,'30% Down Amortization'!$A81,360,'With Loan'!$D$40,0,0)</f>
        <v>712.92524638078237</v>
      </c>
      <c r="D81" s="4">
        <f t="shared" si="3"/>
        <v>1215.6460097854253</v>
      </c>
      <c r="E81" s="3">
        <f t="shared" si="2"/>
        <v>227633.3580784458</v>
      </c>
    </row>
    <row r="82" spans="1:5" x14ac:dyDescent="0.25">
      <c r="A82">
        <v>79</v>
      </c>
      <c r="B82" s="4">
        <f>-PPMT('With Loan'!$D$41/12,'30% Down Amortization'!$A82,360,'With Loan'!$D$40,0,0)</f>
        <v>504.29176579028251</v>
      </c>
      <c r="C82" s="4">
        <f>-IPMT('With Loan'!$D$41/12,'30% Down Amortization'!$A82,360,'With Loan'!$D$40,0,0)</f>
        <v>711.35424399514284</v>
      </c>
      <c r="D82" s="4">
        <f t="shared" si="3"/>
        <v>1215.6460097854253</v>
      </c>
      <c r="E82" s="3">
        <f t="shared" si="2"/>
        <v>227129.06631265552</v>
      </c>
    </row>
    <row r="83" spans="1:5" x14ac:dyDescent="0.25">
      <c r="A83">
        <v>80</v>
      </c>
      <c r="B83" s="4">
        <f>-PPMT('With Loan'!$D$41/12,'30% Down Amortization'!$A83,360,'With Loan'!$D$40,0,0)</f>
        <v>505.86767755837724</v>
      </c>
      <c r="C83" s="4">
        <f>-IPMT('With Loan'!$D$41/12,'30% Down Amortization'!$A83,360,'With Loan'!$D$40,0,0)</f>
        <v>709.77833222704828</v>
      </c>
      <c r="D83" s="4">
        <f t="shared" si="3"/>
        <v>1215.6460097854256</v>
      </c>
      <c r="E83" s="3">
        <f t="shared" si="2"/>
        <v>226623.19863509713</v>
      </c>
    </row>
    <row r="84" spans="1:5" x14ac:dyDescent="0.25">
      <c r="A84">
        <v>81</v>
      </c>
      <c r="B84" s="4">
        <f>-PPMT('With Loan'!$D$41/12,'30% Down Amortization'!$A84,360,'With Loan'!$D$40,0,0)</f>
        <v>507.44851405074701</v>
      </c>
      <c r="C84" s="4">
        <f>-IPMT('With Loan'!$D$41/12,'30% Down Amortization'!$A84,360,'With Loan'!$D$40,0,0)</f>
        <v>708.19749573467823</v>
      </c>
      <c r="D84" s="4">
        <f t="shared" si="3"/>
        <v>1215.6460097854251</v>
      </c>
      <c r="E84" s="3">
        <f t="shared" si="2"/>
        <v>226115.75012104638</v>
      </c>
    </row>
    <row r="85" spans="1:5" x14ac:dyDescent="0.25">
      <c r="A85">
        <v>82</v>
      </c>
      <c r="B85" s="4">
        <f>-PPMT('With Loan'!$D$41/12,'30% Down Amortization'!$A85,360,'With Loan'!$D$40,0,0)</f>
        <v>509.03429065715568</v>
      </c>
      <c r="C85" s="4">
        <f>-IPMT('With Loan'!$D$41/12,'30% Down Amortization'!$A85,360,'With Loan'!$D$40,0,0)</f>
        <v>706.61171912826967</v>
      </c>
      <c r="D85" s="4">
        <f t="shared" si="3"/>
        <v>1215.6460097854253</v>
      </c>
      <c r="E85" s="3">
        <f t="shared" si="2"/>
        <v>225606.71583038924</v>
      </c>
    </row>
    <row r="86" spans="1:5" x14ac:dyDescent="0.25">
      <c r="A86">
        <v>83</v>
      </c>
      <c r="B86" s="4">
        <f>-PPMT('With Loan'!$D$41/12,'30% Down Amortization'!$A86,360,'With Loan'!$D$40,0,0)</f>
        <v>510.62502281545926</v>
      </c>
      <c r="C86" s="4">
        <f>-IPMT('With Loan'!$D$41/12,'30% Down Amortization'!$A86,360,'With Loan'!$D$40,0,0)</f>
        <v>705.0209869699662</v>
      </c>
      <c r="D86" s="4">
        <f t="shared" si="3"/>
        <v>1215.6460097854256</v>
      </c>
      <c r="E86" s="3">
        <f t="shared" si="2"/>
        <v>225096.09080757378</v>
      </c>
    </row>
    <row r="87" spans="1:5" x14ac:dyDescent="0.25">
      <c r="A87">
        <v>84</v>
      </c>
      <c r="B87" s="4">
        <f>-PPMT('With Loan'!$D$41/12,'30% Down Amortization'!$A87,360,'With Loan'!$D$40,0,0)</f>
        <v>512.22072601175751</v>
      </c>
      <c r="C87" s="4">
        <f>-IPMT('With Loan'!$D$41/12,'30% Down Amortization'!$A87,360,'With Loan'!$D$40,0,0)</f>
        <v>703.42528377366796</v>
      </c>
      <c r="D87" s="4">
        <f t="shared" si="3"/>
        <v>1215.6460097854256</v>
      </c>
      <c r="E87" s="3">
        <f t="shared" si="2"/>
        <v>224583.87008156203</v>
      </c>
    </row>
    <row r="88" spans="1:5" x14ac:dyDescent="0.25">
      <c r="A88">
        <v>85</v>
      </c>
      <c r="B88" s="4">
        <f>-PPMT('With Loan'!$D$41/12,'30% Down Amortization'!$A88,360,'With Loan'!$D$40,0,0)</f>
        <v>513.82141578054427</v>
      </c>
      <c r="C88" s="4">
        <f>-IPMT('With Loan'!$D$41/12,'30% Down Amortization'!$A88,360,'With Loan'!$D$40,0,0)</f>
        <v>701.82459400488108</v>
      </c>
      <c r="D88" s="4">
        <f t="shared" si="3"/>
        <v>1215.6460097854253</v>
      </c>
      <c r="E88" s="3">
        <f t="shared" si="2"/>
        <v>224070.04866578148</v>
      </c>
    </row>
    <row r="89" spans="1:5" x14ac:dyDescent="0.25">
      <c r="A89">
        <v>86</v>
      </c>
      <c r="B89" s="4">
        <f>-PPMT('With Loan'!$D$41/12,'30% Down Amortization'!$A89,360,'With Loan'!$D$40,0,0)</f>
        <v>515.42710770485849</v>
      </c>
      <c r="C89" s="4">
        <f>-IPMT('With Loan'!$D$41/12,'30% Down Amortization'!$A89,360,'With Loan'!$D$40,0,0)</f>
        <v>700.21890208056686</v>
      </c>
      <c r="D89" s="4">
        <f t="shared" si="3"/>
        <v>1215.6460097854253</v>
      </c>
      <c r="E89" s="3">
        <f t="shared" si="2"/>
        <v>223554.62155807661</v>
      </c>
    </row>
    <row r="90" spans="1:5" x14ac:dyDescent="0.25">
      <c r="A90">
        <v>87</v>
      </c>
      <c r="B90" s="4">
        <f>-PPMT('With Loan'!$D$41/12,'30% Down Amortization'!$A90,360,'With Loan'!$D$40,0,0)</f>
        <v>517.03781741643616</v>
      </c>
      <c r="C90" s="4">
        <f>-IPMT('With Loan'!$D$41/12,'30% Down Amortization'!$A90,360,'With Loan'!$D$40,0,0)</f>
        <v>698.60819236898919</v>
      </c>
      <c r="D90" s="4">
        <f t="shared" si="3"/>
        <v>1215.6460097854253</v>
      </c>
      <c r="E90" s="3">
        <f t="shared" si="2"/>
        <v>223037.58374066016</v>
      </c>
    </row>
    <row r="91" spans="1:5" x14ac:dyDescent="0.25">
      <c r="A91">
        <v>88</v>
      </c>
      <c r="B91" s="4">
        <f>-PPMT('With Loan'!$D$41/12,'30% Down Amortization'!$A91,360,'With Loan'!$D$40,0,0)</f>
        <v>518.65356059586259</v>
      </c>
      <c r="C91" s="4">
        <f>-IPMT('With Loan'!$D$41/12,'30% Down Amortization'!$A91,360,'With Loan'!$D$40,0,0)</f>
        <v>696.99244918956276</v>
      </c>
      <c r="D91" s="4">
        <f t="shared" si="3"/>
        <v>1215.6460097854253</v>
      </c>
      <c r="E91" s="3">
        <f t="shared" si="2"/>
        <v>222518.93018006432</v>
      </c>
    </row>
    <row r="92" spans="1:5" x14ac:dyDescent="0.25">
      <c r="A92">
        <v>89</v>
      </c>
      <c r="B92" s="4">
        <f>-PPMT('With Loan'!$D$41/12,'30% Down Amortization'!$A92,360,'With Loan'!$D$40,0,0)</f>
        <v>520.27435297272473</v>
      </c>
      <c r="C92" s="4">
        <f>-IPMT('With Loan'!$D$41/12,'30% Down Amortization'!$A92,360,'With Loan'!$D$40,0,0)</f>
        <v>695.37165681270096</v>
      </c>
      <c r="D92" s="4">
        <f t="shared" si="3"/>
        <v>1215.6460097854256</v>
      </c>
      <c r="E92" s="3">
        <f t="shared" si="2"/>
        <v>221998.6558270916</v>
      </c>
    </row>
    <row r="93" spans="1:5" x14ac:dyDescent="0.25">
      <c r="A93">
        <v>90</v>
      </c>
      <c r="B93" s="4">
        <f>-PPMT('With Loan'!$D$41/12,'30% Down Amortization'!$A93,360,'With Loan'!$D$40,0,0)</f>
        <v>521.90021032576442</v>
      </c>
      <c r="C93" s="4">
        <f>-IPMT('With Loan'!$D$41/12,'30% Down Amortization'!$A93,360,'With Loan'!$D$40,0,0)</f>
        <v>693.74579945966093</v>
      </c>
      <c r="D93" s="4">
        <f t="shared" si="3"/>
        <v>1215.6460097854253</v>
      </c>
      <c r="E93" s="3">
        <f t="shared" si="2"/>
        <v>221476.75561676585</v>
      </c>
    </row>
    <row r="94" spans="1:5" x14ac:dyDescent="0.25">
      <c r="A94">
        <v>91</v>
      </c>
      <c r="B94" s="4">
        <f>-PPMT('With Loan'!$D$41/12,'30% Down Amortization'!$A94,360,'With Loan'!$D$40,0,0)</f>
        <v>523.53114848303244</v>
      </c>
      <c r="C94" s="4">
        <f>-IPMT('With Loan'!$D$41/12,'30% Down Amortization'!$A94,360,'With Loan'!$D$40,0,0)</f>
        <v>692.11486130239291</v>
      </c>
      <c r="D94" s="4">
        <f t="shared" si="3"/>
        <v>1215.6460097854253</v>
      </c>
      <c r="E94" s="3">
        <f t="shared" si="2"/>
        <v>220953.2244682828</v>
      </c>
    </row>
    <row r="95" spans="1:5" x14ac:dyDescent="0.25">
      <c r="A95">
        <v>92</v>
      </c>
      <c r="B95" s="4">
        <f>-PPMT('With Loan'!$D$41/12,'30% Down Amortization'!$A95,360,'With Loan'!$D$40,0,0)</f>
        <v>525.16718332204186</v>
      </c>
      <c r="C95" s="4">
        <f>-IPMT('With Loan'!$D$41/12,'30% Down Amortization'!$A95,360,'With Loan'!$D$40,0,0)</f>
        <v>690.47882646338348</v>
      </c>
      <c r="D95" s="4">
        <f t="shared" si="3"/>
        <v>1215.6460097854253</v>
      </c>
      <c r="E95" s="3">
        <f t="shared" si="2"/>
        <v>220428.05728496076</v>
      </c>
    </row>
    <row r="96" spans="1:5" x14ac:dyDescent="0.25">
      <c r="A96">
        <v>93</v>
      </c>
      <c r="B96" s="4">
        <f>-PPMT('With Loan'!$D$41/12,'30% Down Amortization'!$A96,360,'With Loan'!$D$40,0,0)</f>
        <v>526.80833076992326</v>
      </c>
      <c r="C96" s="4">
        <f>-IPMT('With Loan'!$D$41/12,'30% Down Amortization'!$A96,360,'With Loan'!$D$40,0,0)</f>
        <v>688.83767901550198</v>
      </c>
      <c r="D96" s="4">
        <f t="shared" si="3"/>
        <v>1215.6460097854251</v>
      </c>
      <c r="E96" s="3">
        <f t="shared" si="2"/>
        <v>219901.24895419084</v>
      </c>
    </row>
    <row r="97" spans="1:5" x14ac:dyDescent="0.25">
      <c r="A97">
        <v>94</v>
      </c>
      <c r="B97" s="4">
        <f>-PPMT('With Loan'!$D$41/12,'30% Down Amortization'!$A97,360,'With Loan'!$D$40,0,0)</f>
        <v>528.45460680357928</v>
      </c>
      <c r="C97" s="4">
        <f>-IPMT('With Loan'!$D$41/12,'30% Down Amortization'!$A97,360,'With Loan'!$D$40,0,0)</f>
        <v>687.19140298184607</v>
      </c>
      <c r="D97" s="4">
        <f t="shared" si="3"/>
        <v>1215.6460097854253</v>
      </c>
      <c r="E97" s="3">
        <f t="shared" si="2"/>
        <v>219372.79434738727</v>
      </c>
    </row>
    <row r="98" spans="1:5" x14ac:dyDescent="0.25">
      <c r="A98">
        <v>95</v>
      </c>
      <c r="B98" s="4">
        <f>-PPMT('With Loan'!$D$41/12,'30% Down Amortization'!$A98,360,'With Loan'!$D$40,0,0)</f>
        <v>530.10602744984044</v>
      </c>
      <c r="C98" s="4">
        <f>-IPMT('With Loan'!$D$41/12,'30% Down Amortization'!$A98,360,'With Loan'!$D$40,0,0)</f>
        <v>685.53998233558502</v>
      </c>
      <c r="D98" s="4">
        <f t="shared" si="3"/>
        <v>1215.6460097854256</v>
      </c>
      <c r="E98" s="3">
        <f t="shared" ref="E98:E161" si="4">E97-B98</f>
        <v>218842.68831993744</v>
      </c>
    </row>
    <row r="99" spans="1:5" x14ac:dyDescent="0.25">
      <c r="A99">
        <v>96</v>
      </c>
      <c r="B99" s="4">
        <f>-PPMT('With Loan'!$D$41/12,'30% Down Amortization'!$A99,360,'With Loan'!$D$40,0,0)</f>
        <v>531.76260878562118</v>
      </c>
      <c r="C99" s="4">
        <f>-IPMT('With Loan'!$D$41/12,'30% Down Amortization'!$A99,360,'With Loan'!$D$40,0,0)</f>
        <v>683.88340099980405</v>
      </c>
      <c r="D99" s="4">
        <f t="shared" si="3"/>
        <v>1215.6460097854251</v>
      </c>
      <c r="E99" s="3">
        <f t="shared" si="4"/>
        <v>218310.92571115182</v>
      </c>
    </row>
    <row r="100" spans="1:5" x14ac:dyDescent="0.25">
      <c r="A100">
        <v>97</v>
      </c>
      <c r="B100" s="4">
        <f>-PPMT('With Loan'!$D$41/12,'30% Down Amortization'!$A100,360,'With Loan'!$D$40,0,0)</f>
        <v>533.42436693807622</v>
      </c>
      <c r="C100" s="4">
        <f>-IPMT('With Loan'!$D$41/12,'30% Down Amortization'!$A100,360,'With Loan'!$D$40,0,0)</f>
        <v>682.22164284734902</v>
      </c>
      <c r="D100" s="4">
        <f t="shared" si="3"/>
        <v>1215.6460097854251</v>
      </c>
      <c r="E100" s="3">
        <f t="shared" si="4"/>
        <v>217777.50134421376</v>
      </c>
    </row>
    <row r="101" spans="1:5" x14ac:dyDescent="0.25">
      <c r="A101">
        <v>98</v>
      </c>
      <c r="B101" s="4">
        <f>-PPMT('With Loan'!$D$41/12,'30% Down Amortization'!$A101,360,'With Loan'!$D$40,0,0)</f>
        <v>535.09131808475775</v>
      </c>
      <c r="C101" s="4">
        <f>-IPMT('With Loan'!$D$41/12,'30% Down Amortization'!$A101,360,'With Loan'!$D$40,0,0)</f>
        <v>680.5546917006676</v>
      </c>
      <c r="D101" s="4">
        <f t="shared" si="3"/>
        <v>1215.6460097854253</v>
      </c>
      <c r="E101" s="3">
        <f t="shared" si="4"/>
        <v>217242.41002612899</v>
      </c>
    </row>
    <row r="102" spans="1:5" x14ac:dyDescent="0.25">
      <c r="A102">
        <v>99</v>
      </c>
      <c r="B102" s="4">
        <f>-PPMT('With Loan'!$D$41/12,'30% Down Amortization'!$A102,360,'With Loan'!$D$40,0,0)</f>
        <v>536.76347845377268</v>
      </c>
      <c r="C102" s="4">
        <f>-IPMT('With Loan'!$D$41/12,'30% Down Amortization'!$A102,360,'With Loan'!$D$40,0,0)</f>
        <v>678.88253133165279</v>
      </c>
      <c r="D102" s="4">
        <f t="shared" si="3"/>
        <v>1215.6460097854256</v>
      </c>
      <c r="E102" s="3">
        <f t="shared" si="4"/>
        <v>216705.64654767522</v>
      </c>
    </row>
    <row r="103" spans="1:5" x14ac:dyDescent="0.25">
      <c r="A103">
        <v>100</v>
      </c>
      <c r="B103" s="4">
        <f>-PPMT('With Loan'!$D$41/12,'30% Down Amortization'!$A103,360,'With Loan'!$D$40,0,0)</f>
        <v>538.44086432394067</v>
      </c>
      <c r="C103" s="4">
        <f>-IPMT('With Loan'!$D$41/12,'30% Down Amortization'!$A103,360,'With Loan'!$D$40,0,0)</f>
        <v>677.20514546148456</v>
      </c>
      <c r="D103" s="4">
        <f t="shared" si="3"/>
        <v>1215.6460097854251</v>
      </c>
      <c r="E103" s="3">
        <f t="shared" si="4"/>
        <v>216167.20568335129</v>
      </c>
    </row>
    <row r="104" spans="1:5" x14ac:dyDescent="0.25">
      <c r="A104">
        <v>101</v>
      </c>
      <c r="B104" s="4">
        <f>-PPMT('With Loan'!$D$41/12,'30% Down Amortization'!$A104,360,'With Loan'!$D$40,0,0)</f>
        <v>540.12349202495307</v>
      </c>
      <c r="C104" s="4">
        <f>-IPMT('With Loan'!$D$41/12,'30% Down Amortization'!$A104,360,'With Loan'!$D$40,0,0)</f>
        <v>675.52251776047251</v>
      </c>
      <c r="D104" s="4">
        <f t="shared" si="3"/>
        <v>1215.6460097854256</v>
      </c>
      <c r="E104" s="3">
        <f t="shared" si="4"/>
        <v>215627.08219132634</v>
      </c>
    </row>
    <row r="105" spans="1:5" x14ac:dyDescent="0.25">
      <c r="A105">
        <v>102</v>
      </c>
      <c r="B105" s="4">
        <f>-PPMT('With Loan'!$D$41/12,'30% Down Amortization'!$A105,360,'With Loan'!$D$40,0,0)</f>
        <v>541.81137793753089</v>
      </c>
      <c r="C105" s="4">
        <f>-IPMT('With Loan'!$D$41/12,'30% Down Amortization'!$A105,360,'With Loan'!$D$40,0,0)</f>
        <v>673.83463184789434</v>
      </c>
      <c r="D105" s="4">
        <f t="shared" si="3"/>
        <v>1215.6460097854251</v>
      </c>
      <c r="E105" s="3">
        <f t="shared" si="4"/>
        <v>215085.27081338881</v>
      </c>
    </row>
    <row r="106" spans="1:5" x14ac:dyDescent="0.25">
      <c r="A106">
        <v>103</v>
      </c>
      <c r="B106" s="4">
        <f>-PPMT('With Loan'!$D$41/12,'30% Down Amortization'!$A106,360,'With Loan'!$D$40,0,0)</f>
        <v>543.50453849358576</v>
      </c>
      <c r="C106" s="4">
        <f>-IPMT('With Loan'!$D$41/12,'30% Down Amortization'!$A106,360,'With Loan'!$D$40,0,0)</f>
        <v>672.14147129183959</v>
      </c>
      <c r="D106" s="4">
        <f t="shared" si="3"/>
        <v>1215.6460097854253</v>
      </c>
      <c r="E106" s="3">
        <f t="shared" si="4"/>
        <v>214541.76627489523</v>
      </c>
    </row>
    <row r="107" spans="1:5" x14ac:dyDescent="0.25">
      <c r="A107">
        <v>104</v>
      </c>
      <c r="B107" s="4">
        <f>-PPMT('With Loan'!$D$41/12,'30% Down Amortization'!$A107,360,'With Loan'!$D$40,0,0)</f>
        <v>545.20299017637819</v>
      </c>
      <c r="C107" s="4">
        <f>-IPMT('With Loan'!$D$41/12,'30% Down Amortization'!$A107,360,'With Loan'!$D$40,0,0)</f>
        <v>670.44301960904716</v>
      </c>
      <c r="D107" s="4">
        <f t="shared" si="3"/>
        <v>1215.6460097854253</v>
      </c>
      <c r="E107" s="3">
        <f t="shared" si="4"/>
        <v>213996.56328471884</v>
      </c>
    </row>
    <row r="108" spans="1:5" x14ac:dyDescent="0.25">
      <c r="A108">
        <v>105</v>
      </c>
      <c r="B108" s="4">
        <f>-PPMT('With Loan'!$D$41/12,'30% Down Amortization'!$A108,360,'With Loan'!$D$40,0,0)</f>
        <v>546.90674952067945</v>
      </c>
      <c r="C108" s="4">
        <f>-IPMT('With Loan'!$D$41/12,'30% Down Amortization'!$A108,360,'With Loan'!$D$40,0,0)</f>
        <v>668.73926026474601</v>
      </c>
      <c r="D108" s="4">
        <f t="shared" si="3"/>
        <v>1215.6460097854256</v>
      </c>
      <c r="E108" s="3">
        <f t="shared" si="4"/>
        <v>213449.65653519816</v>
      </c>
    </row>
    <row r="109" spans="1:5" x14ac:dyDescent="0.25">
      <c r="A109">
        <v>106</v>
      </c>
      <c r="B109" s="4">
        <f>-PPMT('With Loan'!$D$41/12,'30% Down Amortization'!$A109,360,'With Loan'!$D$40,0,0)</f>
        <v>548.61583311293157</v>
      </c>
      <c r="C109" s="4">
        <f>-IPMT('With Loan'!$D$41/12,'30% Down Amortization'!$A109,360,'With Loan'!$D$40,0,0)</f>
        <v>667.03017667249378</v>
      </c>
      <c r="D109" s="4">
        <f t="shared" si="3"/>
        <v>1215.6460097854253</v>
      </c>
      <c r="E109" s="3">
        <f t="shared" si="4"/>
        <v>212901.04070208521</v>
      </c>
    </row>
    <row r="110" spans="1:5" x14ac:dyDescent="0.25">
      <c r="A110">
        <v>107</v>
      </c>
      <c r="B110" s="4">
        <f>-PPMT('With Loan'!$D$41/12,'30% Down Amortization'!$A110,360,'With Loan'!$D$40,0,0)</f>
        <v>550.33025759140946</v>
      </c>
      <c r="C110" s="4">
        <f>-IPMT('With Loan'!$D$41/12,'30% Down Amortization'!$A110,360,'With Loan'!$D$40,0,0)</f>
        <v>665.315752194016</v>
      </c>
      <c r="D110" s="4">
        <f t="shared" si="3"/>
        <v>1215.6460097854256</v>
      </c>
      <c r="E110" s="3">
        <f t="shared" si="4"/>
        <v>212350.7104444938</v>
      </c>
    </row>
    <row r="111" spans="1:5" x14ac:dyDescent="0.25">
      <c r="A111">
        <v>108</v>
      </c>
      <c r="B111" s="4">
        <f>-PPMT('With Loan'!$D$41/12,'30% Down Amortization'!$A111,360,'With Loan'!$D$40,0,0)</f>
        <v>552.05003964638263</v>
      </c>
      <c r="C111" s="4">
        <f>-IPMT('With Loan'!$D$41/12,'30% Down Amortization'!$A111,360,'With Loan'!$D$40,0,0)</f>
        <v>663.59597013904295</v>
      </c>
      <c r="D111" s="4">
        <f t="shared" si="3"/>
        <v>1215.6460097854256</v>
      </c>
      <c r="E111" s="3">
        <f t="shared" si="4"/>
        <v>211798.66040484741</v>
      </c>
    </row>
    <row r="112" spans="1:5" x14ac:dyDescent="0.25">
      <c r="A112">
        <v>109</v>
      </c>
      <c r="B112" s="4">
        <f>-PPMT('With Loan'!$D$41/12,'30% Down Amortization'!$A112,360,'With Loan'!$D$40,0,0)</f>
        <v>553.77519602027758</v>
      </c>
      <c r="C112" s="4">
        <f>-IPMT('With Loan'!$D$41/12,'30% Down Amortization'!$A112,360,'With Loan'!$D$40,0,0)</f>
        <v>661.87081376514777</v>
      </c>
      <c r="D112" s="4">
        <f t="shared" si="3"/>
        <v>1215.6460097854253</v>
      </c>
      <c r="E112" s="3">
        <f t="shared" si="4"/>
        <v>211244.88520882712</v>
      </c>
    </row>
    <row r="113" spans="1:5" x14ac:dyDescent="0.25">
      <c r="A113">
        <v>110</v>
      </c>
      <c r="B113" s="4">
        <f>-PPMT('With Loan'!$D$41/12,'30% Down Amortization'!$A113,360,'With Loan'!$D$40,0,0)</f>
        <v>555.50574350784086</v>
      </c>
      <c r="C113" s="4">
        <f>-IPMT('With Loan'!$D$41/12,'30% Down Amortization'!$A113,360,'With Loan'!$D$40,0,0)</f>
        <v>660.14026627758437</v>
      </c>
      <c r="D113" s="4">
        <f t="shared" si="3"/>
        <v>1215.6460097854251</v>
      </c>
      <c r="E113" s="3">
        <f t="shared" si="4"/>
        <v>210689.37946531927</v>
      </c>
    </row>
    <row r="114" spans="1:5" x14ac:dyDescent="0.25">
      <c r="A114">
        <v>111</v>
      </c>
      <c r="B114" s="4">
        <f>-PPMT('With Loan'!$D$41/12,'30% Down Amortization'!$A114,360,'With Loan'!$D$40,0,0)</f>
        <v>557.24169895630291</v>
      </c>
      <c r="C114" s="4">
        <f>-IPMT('With Loan'!$D$41/12,'30% Down Amortization'!$A114,360,'With Loan'!$D$40,0,0)</f>
        <v>658.40431082912255</v>
      </c>
      <c r="D114" s="4">
        <f t="shared" si="3"/>
        <v>1215.6460097854256</v>
      </c>
      <c r="E114" s="3">
        <f t="shared" si="4"/>
        <v>210132.13776636298</v>
      </c>
    </row>
    <row r="115" spans="1:5" x14ac:dyDescent="0.25">
      <c r="A115">
        <v>112</v>
      </c>
      <c r="B115" s="4">
        <f>-PPMT('With Loan'!$D$41/12,'30% Down Amortization'!$A115,360,'With Loan'!$D$40,0,0)</f>
        <v>558.98307926554139</v>
      </c>
      <c r="C115" s="4">
        <f>-IPMT('With Loan'!$D$41/12,'30% Down Amortization'!$A115,360,'With Loan'!$D$40,0,0)</f>
        <v>656.66293051988396</v>
      </c>
      <c r="D115" s="4">
        <f t="shared" si="3"/>
        <v>1215.6460097854253</v>
      </c>
      <c r="E115" s="3">
        <f t="shared" si="4"/>
        <v>209573.15468709744</v>
      </c>
    </row>
    <row r="116" spans="1:5" x14ac:dyDescent="0.25">
      <c r="A116">
        <v>113</v>
      </c>
      <c r="B116" s="4">
        <f>-PPMT('With Loan'!$D$41/12,'30% Down Amortization'!$A116,360,'With Loan'!$D$40,0,0)</f>
        <v>560.72990138824616</v>
      </c>
      <c r="C116" s="4">
        <f>-IPMT('With Loan'!$D$41/12,'30% Down Amortization'!$A116,360,'With Loan'!$D$40,0,0)</f>
        <v>654.91610839717919</v>
      </c>
      <c r="D116" s="4">
        <f t="shared" si="3"/>
        <v>1215.6460097854253</v>
      </c>
      <c r="E116" s="3">
        <f t="shared" si="4"/>
        <v>209012.42478570918</v>
      </c>
    </row>
    <row r="117" spans="1:5" x14ac:dyDescent="0.25">
      <c r="A117">
        <v>114</v>
      </c>
      <c r="B117" s="4">
        <f>-PPMT('With Loan'!$D$41/12,'30% Down Amortization'!$A117,360,'With Loan'!$D$40,0,0)</f>
        <v>562.48218233008447</v>
      </c>
      <c r="C117" s="4">
        <f>-IPMT('With Loan'!$D$41/12,'30% Down Amortization'!$A117,360,'With Loan'!$D$40,0,0)</f>
        <v>653.16382745534111</v>
      </c>
      <c r="D117" s="4">
        <f t="shared" si="3"/>
        <v>1215.6460097854256</v>
      </c>
      <c r="E117" s="3">
        <f t="shared" si="4"/>
        <v>208449.94260337911</v>
      </c>
    </row>
    <row r="118" spans="1:5" x14ac:dyDescent="0.25">
      <c r="A118">
        <v>115</v>
      </c>
      <c r="B118" s="4">
        <f>-PPMT('With Loan'!$D$41/12,'30% Down Amortization'!$A118,360,'With Loan'!$D$40,0,0)</f>
        <v>564.23993914986602</v>
      </c>
      <c r="C118" s="4">
        <f>-IPMT('With Loan'!$D$41/12,'30% Down Amortization'!$A118,360,'With Loan'!$D$40,0,0)</f>
        <v>651.40607063555944</v>
      </c>
      <c r="D118" s="4">
        <f t="shared" si="3"/>
        <v>1215.6460097854256</v>
      </c>
      <c r="E118" s="3">
        <f t="shared" si="4"/>
        <v>207885.70266422923</v>
      </c>
    </row>
    <row r="119" spans="1:5" x14ac:dyDescent="0.25">
      <c r="A119">
        <v>116</v>
      </c>
      <c r="B119" s="4">
        <f>-PPMT('With Loan'!$D$41/12,'30% Down Amortization'!$A119,360,'With Loan'!$D$40,0,0)</f>
        <v>566.00318895970929</v>
      </c>
      <c r="C119" s="4">
        <f>-IPMT('With Loan'!$D$41/12,'30% Down Amortization'!$A119,360,'With Loan'!$D$40,0,0)</f>
        <v>649.64282082571606</v>
      </c>
      <c r="D119" s="4">
        <f t="shared" si="3"/>
        <v>1215.6460097854253</v>
      </c>
      <c r="E119" s="3">
        <f t="shared" si="4"/>
        <v>207319.69947526953</v>
      </c>
    </row>
    <row r="120" spans="1:5" x14ac:dyDescent="0.25">
      <c r="A120">
        <v>117</v>
      </c>
      <c r="B120" s="4">
        <f>-PPMT('With Loan'!$D$41/12,'30% Down Amortization'!$A120,360,'With Loan'!$D$40,0,0)</f>
        <v>567.77194892520845</v>
      </c>
      <c r="C120" s="4">
        <f>-IPMT('With Loan'!$D$41/12,'30% Down Amortization'!$A120,360,'With Loan'!$D$40,0,0)</f>
        <v>647.87406086021701</v>
      </c>
      <c r="D120" s="4">
        <f t="shared" si="3"/>
        <v>1215.6460097854256</v>
      </c>
      <c r="E120" s="3">
        <f t="shared" si="4"/>
        <v>206751.92752634431</v>
      </c>
    </row>
    <row r="121" spans="1:5" x14ac:dyDescent="0.25">
      <c r="A121">
        <v>118</v>
      </c>
      <c r="B121" s="4">
        <f>-PPMT('With Loan'!$D$41/12,'30% Down Amortization'!$A121,360,'With Loan'!$D$40,0,0)</f>
        <v>569.54623626559953</v>
      </c>
      <c r="C121" s="4">
        <f>-IPMT('With Loan'!$D$41/12,'30% Down Amortization'!$A121,360,'With Loan'!$D$40,0,0)</f>
        <v>646.09977351982582</v>
      </c>
      <c r="D121" s="4">
        <f t="shared" si="3"/>
        <v>1215.6460097854253</v>
      </c>
      <c r="E121" s="3">
        <f t="shared" si="4"/>
        <v>206182.38129007872</v>
      </c>
    </row>
    <row r="122" spans="1:5" x14ac:dyDescent="0.25">
      <c r="A122">
        <v>119</v>
      </c>
      <c r="B122" s="4">
        <f>-PPMT('With Loan'!$D$41/12,'30% Down Amortization'!$A122,360,'With Loan'!$D$40,0,0)</f>
        <v>571.32606825392963</v>
      </c>
      <c r="C122" s="4">
        <f>-IPMT('With Loan'!$D$41/12,'30% Down Amortization'!$A122,360,'With Loan'!$D$40,0,0)</f>
        <v>644.31994153149572</v>
      </c>
      <c r="D122" s="4">
        <f t="shared" si="3"/>
        <v>1215.6460097854253</v>
      </c>
      <c r="E122" s="3">
        <f t="shared" si="4"/>
        <v>205611.05522182479</v>
      </c>
    </row>
    <row r="123" spans="1:5" x14ac:dyDescent="0.25">
      <c r="A123">
        <v>120</v>
      </c>
      <c r="B123" s="4">
        <f>-PPMT('With Loan'!$D$41/12,'30% Down Amortization'!$A123,360,'With Loan'!$D$40,0,0)</f>
        <v>573.11146221722322</v>
      </c>
      <c r="C123" s="4">
        <f>-IPMT('With Loan'!$D$41/12,'30% Down Amortization'!$A123,360,'With Loan'!$D$40,0,0)</f>
        <v>642.53454756820224</v>
      </c>
      <c r="D123" s="4">
        <f t="shared" si="3"/>
        <v>1215.6460097854256</v>
      </c>
      <c r="E123" s="3">
        <f t="shared" si="4"/>
        <v>205037.94375960756</v>
      </c>
    </row>
    <row r="124" spans="1:5" x14ac:dyDescent="0.25">
      <c r="A124">
        <v>121</v>
      </c>
      <c r="B124" s="4">
        <f>-PPMT('With Loan'!$D$41/12,'30% Down Amortization'!$A124,360,'With Loan'!$D$40,0,0)</f>
        <v>574.90243553665198</v>
      </c>
      <c r="C124" s="4">
        <f>-IPMT('With Loan'!$D$41/12,'30% Down Amortization'!$A124,360,'With Loan'!$D$40,0,0)</f>
        <v>640.74357424877326</v>
      </c>
      <c r="D124" s="4">
        <f t="shared" si="3"/>
        <v>1215.6460097854251</v>
      </c>
      <c r="E124" s="3">
        <f t="shared" si="4"/>
        <v>204463.04132407092</v>
      </c>
    </row>
    <row r="125" spans="1:5" x14ac:dyDescent="0.25">
      <c r="A125">
        <v>122</v>
      </c>
      <c r="B125" s="4">
        <f>-PPMT('With Loan'!$D$41/12,'30% Down Amortization'!$A125,360,'With Loan'!$D$40,0,0)</f>
        <v>576.6990056477041</v>
      </c>
      <c r="C125" s="4">
        <f>-IPMT('With Loan'!$D$41/12,'30% Down Amortization'!$A125,360,'With Loan'!$D$40,0,0)</f>
        <v>638.94700413772136</v>
      </c>
      <c r="D125" s="4">
        <f t="shared" si="3"/>
        <v>1215.6460097854256</v>
      </c>
      <c r="E125" s="3">
        <f t="shared" si="4"/>
        <v>203886.34231842321</v>
      </c>
    </row>
    <row r="126" spans="1:5" x14ac:dyDescent="0.25">
      <c r="A126">
        <v>123</v>
      </c>
      <c r="B126" s="4">
        <f>-PPMT('With Loan'!$D$41/12,'30% Down Amortization'!$A126,360,'With Loan'!$D$40,0,0)</f>
        <v>578.50119004035309</v>
      </c>
      <c r="C126" s="4">
        <f>-IPMT('With Loan'!$D$41/12,'30% Down Amortization'!$A126,360,'With Loan'!$D$40,0,0)</f>
        <v>637.14481974507225</v>
      </c>
      <c r="D126" s="4">
        <f t="shared" si="3"/>
        <v>1215.6460097854253</v>
      </c>
      <c r="E126" s="3">
        <f t="shared" si="4"/>
        <v>203307.84112838286</v>
      </c>
    </row>
    <row r="127" spans="1:5" x14ac:dyDescent="0.25">
      <c r="A127">
        <v>124</v>
      </c>
      <c r="B127" s="4">
        <f>-PPMT('With Loan'!$D$41/12,'30% Down Amortization'!$A127,360,'With Loan'!$D$40,0,0)</f>
        <v>580.30900625922914</v>
      </c>
      <c r="C127" s="4">
        <f>-IPMT('With Loan'!$D$41/12,'30% Down Amortization'!$A127,360,'With Loan'!$D$40,0,0)</f>
        <v>635.33700352619621</v>
      </c>
      <c r="D127" s="4">
        <f t="shared" si="3"/>
        <v>1215.6460097854253</v>
      </c>
      <c r="E127" s="3">
        <f t="shared" si="4"/>
        <v>202727.53212212364</v>
      </c>
    </row>
    <row r="128" spans="1:5" x14ac:dyDescent="0.25">
      <c r="A128">
        <v>125</v>
      </c>
      <c r="B128" s="4">
        <f>-PPMT('With Loan'!$D$41/12,'30% Down Amortization'!$A128,360,'With Loan'!$D$40,0,0)</f>
        <v>582.12247190378923</v>
      </c>
      <c r="C128" s="4">
        <f>-IPMT('With Loan'!$D$41/12,'30% Down Amortization'!$A128,360,'With Loan'!$D$40,0,0)</f>
        <v>633.523537881636</v>
      </c>
      <c r="D128" s="4">
        <f t="shared" si="3"/>
        <v>1215.6460097854251</v>
      </c>
      <c r="E128" s="3">
        <f t="shared" si="4"/>
        <v>202145.40965021984</v>
      </c>
    </row>
    <row r="129" spans="1:5" x14ac:dyDescent="0.25">
      <c r="A129">
        <v>126</v>
      </c>
      <c r="B129" s="4">
        <f>-PPMT('With Loan'!$D$41/12,'30% Down Amortization'!$A129,360,'With Loan'!$D$40,0,0)</f>
        <v>583.94160462848868</v>
      </c>
      <c r="C129" s="4">
        <f>-IPMT('With Loan'!$D$41/12,'30% Down Amortization'!$A129,360,'With Loan'!$D$40,0,0)</f>
        <v>631.70440515693679</v>
      </c>
      <c r="D129" s="4">
        <f t="shared" si="3"/>
        <v>1215.6460097854256</v>
      </c>
      <c r="E129" s="3">
        <f t="shared" si="4"/>
        <v>201561.46804559135</v>
      </c>
    </row>
    <row r="130" spans="1:5" x14ac:dyDescent="0.25">
      <c r="A130">
        <v>127</v>
      </c>
      <c r="B130" s="4">
        <f>-PPMT('With Loan'!$D$41/12,'30% Down Amortization'!$A130,360,'With Loan'!$D$40,0,0)</f>
        <v>585.76642214295271</v>
      </c>
      <c r="C130" s="4">
        <f>-IPMT('With Loan'!$D$41/12,'30% Down Amortization'!$A130,360,'With Loan'!$D$40,0,0)</f>
        <v>629.87958764247287</v>
      </c>
      <c r="D130" s="4">
        <f t="shared" si="3"/>
        <v>1215.6460097854256</v>
      </c>
      <c r="E130" s="3">
        <f t="shared" si="4"/>
        <v>200975.7016234484</v>
      </c>
    </row>
    <row r="131" spans="1:5" x14ac:dyDescent="0.25">
      <c r="A131">
        <v>128</v>
      </c>
      <c r="B131" s="4">
        <f>-PPMT('With Loan'!$D$41/12,'30% Down Amortization'!$A131,360,'With Loan'!$D$40,0,0)</f>
        <v>587.59694221214932</v>
      </c>
      <c r="C131" s="4">
        <f>-IPMT('With Loan'!$D$41/12,'30% Down Amortization'!$A131,360,'With Loan'!$D$40,0,0)</f>
        <v>628.04906757327603</v>
      </c>
      <c r="D131" s="4">
        <f t="shared" si="3"/>
        <v>1215.6460097854253</v>
      </c>
      <c r="E131" s="3">
        <f t="shared" si="4"/>
        <v>200388.10468123626</v>
      </c>
    </row>
    <row r="132" spans="1:5" x14ac:dyDescent="0.25">
      <c r="A132">
        <v>129</v>
      </c>
      <c r="B132" s="4">
        <f>-PPMT('With Loan'!$D$41/12,'30% Down Amortization'!$A132,360,'With Loan'!$D$40,0,0)</f>
        <v>589.43318265656239</v>
      </c>
      <c r="C132" s="4">
        <f>-IPMT('With Loan'!$D$41/12,'30% Down Amortization'!$A132,360,'With Loan'!$D$40,0,0)</f>
        <v>626.21282712886307</v>
      </c>
      <c r="D132" s="4">
        <f t="shared" si="3"/>
        <v>1215.6460097854256</v>
      </c>
      <c r="E132" s="3">
        <f t="shared" si="4"/>
        <v>199798.6714985797</v>
      </c>
    </row>
    <row r="133" spans="1:5" x14ac:dyDescent="0.25">
      <c r="A133">
        <v>130</v>
      </c>
      <c r="B133" s="4">
        <f>-PPMT('With Loan'!$D$41/12,'30% Down Amortization'!$A133,360,'With Loan'!$D$40,0,0)</f>
        <v>591.27516135236419</v>
      </c>
      <c r="C133" s="4">
        <f>-IPMT('With Loan'!$D$41/12,'30% Down Amortization'!$A133,360,'With Loan'!$D$40,0,0)</f>
        <v>624.37084843306127</v>
      </c>
      <c r="D133" s="4">
        <f t="shared" ref="D133:D196" si="5">B133+C133</f>
        <v>1215.6460097854256</v>
      </c>
      <c r="E133" s="3">
        <f t="shared" si="4"/>
        <v>199207.39633722734</v>
      </c>
    </row>
    <row r="134" spans="1:5" x14ac:dyDescent="0.25">
      <c r="A134">
        <v>131</v>
      </c>
      <c r="B134" s="4">
        <f>-PPMT('With Loan'!$D$41/12,'30% Down Amortization'!$A134,360,'With Loan'!$D$40,0,0)</f>
        <v>593.12289623159029</v>
      </c>
      <c r="C134" s="4">
        <f>-IPMT('With Loan'!$D$41/12,'30% Down Amortization'!$A134,360,'With Loan'!$D$40,0,0)</f>
        <v>622.52311355383517</v>
      </c>
      <c r="D134" s="4">
        <f t="shared" si="5"/>
        <v>1215.6460097854256</v>
      </c>
      <c r="E134" s="3">
        <f t="shared" si="4"/>
        <v>198614.27344099575</v>
      </c>
    </row>
    <row r="135" spans="1:5" x14ac:dyDescent="0.25">
      <c r="A135">
        <v>132</v>
      </c>
      <c r="B135" s="4">
        <f>-PPMT('With Loan'!$D$41/12,'30% Down Amortization'!$A135,360,'With Loan'!$D$40,0,0)</f>
        <v>594.97640528231398</v>
      </c>
      <c r="C135" s="4">
        <f>-IPMT('With Loan'!$D$41/12,'30% Down Amortization'!$A135,360,'With Loan'!$D$40,0,0)</f>
        <v>620.66960450311137</v>
      </c>
      <c r="D135" s="4">
        <f t="shared" si="5"/>
        <v>1215.6460097854253</v>
      </c>
      <c r="E135" s="3">
        <f t="shared" si="4"/>
        <v>198019.29703571345</v>
      </c>
    </row>
    <row r="136" spans="1:5" x14ac:dyDescent="0.25">
      <c r="A136">
        <v>133</v>
      </c>
      <c r="B136" s="4">
        <f>-PPMT('With Loan'!$D$41/12,'30% Down Amortization'!$A136,360,'With Loan'!$D$40,0,0)</f>
        <v>596.83570654882124</v>
      </c>
      <c r="C136" s="4">
        <f>-IPMT('With Loan'!$D$41/12,'30% Down Amortization'!$A136,360,'With Loan'!$D$40,0,0)</f>
        <v>618.81030323660434</v>
      </c>
      <c r="D136" s="4">
        <f t="shared" si="5"/>
        <v>1215.6460097854256</v>
      </c>
      <c r="E136" s="3">
        <f t="shared" si="4"/>
        <v>197422.46132916462</v>
      </c>
    </row>
    <row r="137" spans="1:5" x14ac:dyDescent="0.25">
      <c r="A137">
        <v>134</v>
      </c>
      <c r="B137" s="4">
        <f>-PPMT('With Loan'!$D$41/12,'30% Down Amortization'!$A137,360,'With Loan'!$D$40,0,0)</f>
        <v>598.70081813178626</v>
      </c>
      <c r="C137" s="4">
        <f>-IPMT('With Loan'!$D$41/12,'30% Down Amortization'!$A137,360,'With Loan'!$D$40,0,0)</f>
        <v>616.94519165363909</v>
      </c>
      <c r="D137" s="4">
        <f t="shared" si="5"/>
        <v>1215.6460097854253</v>
      </c>
      <c r="E137" s="3">
        <f t="shared" si="4"/>
        <v>196823.76051103283</v>
      </c>
    </row>
    <row r="138" spans="1:5" x14ac:dyDescent="0.25">
      <c r="A138">
        <v>135</v>
      </c>
      <c r="B138" s="4">
        <f>-PPMT('With Loan'!$D$41/12,'30% Down Amortization'!$A138,360,'With Loan'!$D$40,0,0)</f>
        <v>600.57175818844814</v>
      </c>
      <c r="C138" s="4">
        <f>-IPMT('With Loan'!$D$41/12,'30% Down Amortization'!$A138,360,'With Loan'!$D$40,0,0)</f>
        <v>615.07425159697732</v>
      </c>
      <c r="D138" s="4">
        <f t="shared" si="5"/>
        <v>1215.6460097854256</v>
      </c>
      <c r="E138" s="3">
        <f t="shared" si="4"/>
        <v>196223.18875284438</v>
      </c>
    </row>
    <row r="139" spans="1:5" x14ac:dyDescent="0.25">
      <c r="A139">
        <v>136</v>
      </c>
      <c r="B139" s="4">
        <f>-PPMT('With Loan'!$D$41/12,'30% Down Amortization'!$A139,360,'With Loan'!$D$40,0,0)</f>
        <v>602.44854493278706</v>
      </c>
      <c r="C139" s="4">
        <f>-IPMT('With Loan'!$D$41/12,'30% Down Amortization'!$A139,360,'With Loan'!$D$40,0,0)</f>
        <v>613.1974648526384</v>
      </c>
      <c r="D139" s="4">
        <f t="shared" si="5"/>
        <v>1215.6460097854256</v>
      </c>
      <c r="E139" s="3">
        <f t="shared" si="4"/>
        <v>195620.74020791159</v>
      </c>
    </row>
    <row r="140" spans="1:5" x14ac:dyDescent="0.25">
      <c r="A140">
        <v>137</v>
      </c>
      <c r="B140" s="4">
        <f>-PPMT('With Loan'!$D$41/12,'30% Down Amortization'!$A140,360,'With Loan'!$D$40,0,0)</f>
        <v>604.33119663570199</v>
      </c>
      <c r="C140" s="4">
        <f>-IPMT('With Loan'!$D$41/12,'30% Down Amortization'!$A140,360,'With Loan'!$D$40,0,0)</f>
        <v>611.31481314972348</v>
      </c>
      <c r="D140" s="4">
        <f t="shared" si="5"/>
        <v>1215.6460097854256</v>
      </c>
      <c r="E140" s="3">
        <f t="shared" si="4"/>
        <v>195016.40901127589</v>
      </c>
    </row>
    <row r="141" spans="1:5" x14ac:dyDescent="0.25">
      <c r="A141">
        <v>138</v>
      </c>
      <c r="B141" s="4">
        <f>-PPMT('With Loan'!$D$41/12,'30% Down Amortization'!$A141,360,'With Loan'!$D$40,0,0)</f>
        <v>606.21973162518861</v>
      </c>
      <c r="C141" s="4">
        <f>-IPMT('With Loan'!$D$41/12,'30% Down Amortization'!$A141,360,'With Loan'!$D$40,0,0)</f>
        <v>609.42627816023685</v>
      </c>
      <c r="D141" s="4">
        <f t="shared" si="5"/>
        <v>1215.6460097854256</v>
      </c>
      <c r="E141" s="3">
        <f t="shared" si="4"/>
        <v>194410.18927965069</v>
      </c>
    </row>
    <row r="142" spans="1:5" x14ac:dyDescent="0.25">
      <c r="A142">
        <v>139</v>
      </c>
      <c r="B142" s="4">
        <f>-PPMT('With Loan'!$D$41/12,'30% Down Amortization'!$A142,360,'With Loan'!$D$40,0,0)</f>
        <v>608.11416828651727</v>
      </c>
      <c r="C142" s="4">
        <f>-IPMT('With Loan'!$D$41/12,'30% Down Amortization'!$A142,360,'With Loan'!$D$40,0,0)</f>
        <v>607.53184149890831</v>
      </c>
      <c r="D142" s="4">
        <f t="shared" si="5"/>
        <v>1215.6460097854256</v>
      </c>
      <c r="E142" s="3">
        <f t="shared" si="4"/>
        <v>193802.07511136416</v>
      </c>
    </row>
    <row r="143" spans="1:5" x14ac:dyDescent="0.25">
      <c r="A143">
        <v>140</v>
      </c>
      <c r="B143" s="4">
        <f>-PPMT('With Loan'!$D$41/12,'30% Down Amortization'!$A143,360,'With Loan'!$D$40,0,0)</f>
        <v>610.01452506241264</v>
      </c>
      <c r="C143" s="4">
        <f>-IPMT('With Loan'!$D$41/12,'30% Down Amortization'!$A143,360,'With Loan'!$D$40,0,0)</f>
        <v>605.63148472301282</v>
      </c>
      <c r="D143" s="4">
        <f t="shared" si="5"/>
        <v>1215.6460097854256</v>
      </c>
      <c r="E143" s="3">
        <f t="shared" si="4"/>
        <v>193192.06058630176</v>
      </c>
    </row>
    <row r="144" spans="1:5" x14ac:dyDescent="0.25">
      <c r="A144">
        <v>141</v>
      </c>
      <c r="B144" s="4">
        <f>-PPMT('With Loan'!$D$41/12,'30% Down Amortization'!$A144,360,'With Loan'!$D$40,0,0)</f>
        <v>611.92082045323252</v>
      </c>
      <c r="C144" s="4">
        <f>-IPMT('With Loan'!$D$41/12,'30% Down Amortization'!$A144,360,'With Loan'!$D$40,0,0)</f>
        <v>603.72518933219271</v>
      </c>
      <c r="D144" s="4">
        <f t="shared" si="5"/>
        <v>1215.6460097854251</v>
      </c>
      <c r="E144" s="3">
        <f t="shared" si="4"/>
        <v>192580.13976584852</v>
      </c>
    </row>
    <row r="145" spans="1:5" x14ac:dyDescent="0.25">
      <c r="A145">
        <v>142</v>
      </c>
      <c r="B145" s="4">
        <f>-PPMT('With Loan'!$D$41/12,'30% Down Amortization'!$A145,360,'With Loan'!$D$40,0,0)</f>
        <v>613.8330730171491</v>
      </c>
      <c r="C145" s="4">
        <f>-IPMT('With Loan'!$D$41/12,'30% Down Amortization'!$A145,360,'With Loan'!$D$40,0,0)</f>
        <v>601.81293676827636</v>
      </c>
      <c r="D145" s="4">
        <f t="shared" si="5"/>
        <v>1215.6460097854256</v>
      </c>
      <c r="E145" s="3">
        <f t="shared" si="4"/>
        <v>191966.30669283136</v>
      </c>
    </row>
    <row r="146" spans="1:5" x14ac:dyDescent="0.25">
      <c r="A146">
        <v>143</v>
      </c>
      <c r="B146" s="4">
        <f>-PPMT('With Loan'!$D$41/12,'30% Down Amortization'!$A146,360,'With Loan'!$D$40,0,0)</f>
        <v>615.75130137032761</v>
      </c>
      <c r="C146" s="4">
        <f>-IPMT('With Loan'!$D$41/12,'30% Down Amortization'!$A146,360,'With Loan'!$D$40,0,0)</f>
        <v>599.89470841509774</v>
      </c>
      <c r="D146" s="4">
        <f t="shared" si="5"/>
        <v>1215.6460097854253</v>
      </c>
      <c r="E146" s="3">
        <f t="shared" si="4"/>
        <v>191350.55539146104</v>
      </c>
    </row>
    <row r="147" spans="1:5" x14ac:dyDescent="0.25">
      <c r="A147">
        <v>144</v>
      </c>
      <c r="B147" s="4">
        <f>-PPMT('With Loan'!$D$41/12,'30% Down Amortization'!$A147,360,'With Loan'!$D$40,0,0)</f>
        <v>617.67552418710989</v>
      </c>
      <c r="C147" s="4">
        <f>-IPMT('With Loan'!$D$41/12,'30% Down Amortization'!$A147,360,'With Loan'!$D$40,0,0)</f>
        <v>597.97048559831558</v>
      </c>
      <c r="D147" s="4">
        <f t="shared" si="5"/>
        <v>1215.6460097854256</v>
      </c>
      <c r="E147" s="3">
        <f t="shared" si="4"/>
        <v>190732.87986727394</v>
      </c>
    </row>
    <row r="148" spans="1:5" x14ac:dyDescent="0.25">
      <c r="A148">
        <v>145</v>
      </c>
      <c r="B148" s="4">
        <f>-PPMT('With Loan'!$D$41/12,'30% Down Amortization'!$A148,360,'With Loan'!$D$40,0,0)</f>
        <v>619.6057602001946</v>
      </c>
      <c r="C148" s="4">
        <f>-IPMT('With Loan'!$D$41/12,'30% Down Amortization'!$A148,360,'With Loan'!$D$40,0,0)</f>
        <v>596.04024958523087</v>
      </c>
      <c r="D148" s="4">
        <f t="shared" si="5"/>
        <v>1215.6460097854256</v>
      </c>
      <c r="E148" s="3">
        <f t="shared" si="4"/>
        <v>190113.27410707375</v>
      </c>
    </row>
    <row r="149" spans="1:5" x14ac:dyDescent="0.25">
      <c r="A149">
        <v>146</v>
      </c>
      <c r="B149" s="4">
        <f>-PPMT('With Loan'!$D$41/12,'30% Down Amortization'!$A149,360,'With Loan'!$D$40,0,0)</f>
        <v>621.54202820082025</v>
      </c>
      <c r="C149" s="4">
        <f>-IPMT('With Loan'!$D$41/12,'30% Down Amortization'!$A149,360,'With Loan'!$D$40,0,0)</f>
        <v>594.10398158460521</v>
      </c>
      <c r="D149" s="4">
        <f t="shared" si="5"/>
        <v>1215.6460097854256</v>
      </c>
      <c r="E149" s="3">
        <f t="shared" si="4"/>
        <v>189491.73207887294</v>
      </c>
    </row>
    <row r="150" spans="1:5" x14ac:dyDescent="0.25">
      <c r="A150">
        <v>147</v>
      </c>
      <c r="B150" s="4">
        <f>-PPMT('With Loan'!$D$41/12,'30% Down Amortization'!$A150,360,'With Loan'!$D$40,0,0)</f>
        <v>623.48434703894782</v>
      </c>
      <c r="C150" s="4">
        <f>-IPMT('With Loan'!$D$41/12,'30% Down Amortization'!$A150,360,'With Loan'!$D$40,0,0)</f>
        <v>592.16166274647765</v>
      </c>
      <c r="D150" s="4">
        <f t="shared" si="5"/>
        <v>1215.6460097854256</v>
      </c>
      <c r="E150" s="3">
        <f t="shared" si="4"/>
        <v>188868.24773183398</v>
      </c>
    </row>
    <row r="151" spans="1:5" x14ac:dyDescent="0.25">
      <c r="A151">
        <v>148</v>
      </c>
      <c r="B151" s="4">
        <f>-PPMT('With Loan'!$D$41/12,'30% Down Amortization'!$A151,360,'With Loan'!$D$40,0,0)</f>
        <v>625.43273562344439</v>
      </c>
      <c r="C151" s="4">
        <f>-IPMT('With Loan'!$D$41/12,'30% Down Amortization'!$A151,360,'With Loan'!$D$40,0,0)</f>
        <v>590.21327416198096</v>
      </c>
      <c r="D151" s="4">
        <f t="shared" si="5"/>
        <v>1215.6460097854253</v>
      </c>
      <c r="E151" s="3">
        <f t="shared" si="4"/>
        <v>188242.81499621054</v>
      </c>
    </row>
    <row r="152" spans="1:5" x14ac:dyDescent="0.25">
      <c r="A152">
        <v>149</v>
      </c>
      <c r="B152" s="4">
        <f>-PPMT('With Loan'!$D$41/12,'30% Down Amortization'!$A152,360,'With Loan'!$D$40,0,0)</f>
        <v>627.38721292226774</v>
      </c>
      <c r="C152" s="4">
        <f>-IPMT('With Loan'!$D$41/12,'30% Down Amortization'!$A152,360,'With Loan'!$D$40,0,0)</f>
        <v>588.25879686315761</v>
      </c>
      <c r="D152" s="4">
        <f t="shared" si="5"/>
        <v>1215.6460097854253</v>
      </c>
      <c r="E152" s="3">
        <f t="shared" si="4"/>
        <v>187615.42778328827</v>
      </c>
    </row>
    <row r="153" spans="1:5" x14ac:dyDescent="0.25">
      <c r="A153">
        <v>150</v>
      </c>
      <c r="B153" s="4">
        <f>-PPMT('With Loan'!$D$41/12,'30% Down Amortization'!$A153,360,'With Loan'!$D$40,0,0)</f>
        <v>629.34779796264991</v>
      </c>
      <c r="C153" s="4">
        <f>-IPMT('With Loan'!$D$41/12,'30% Down Amortization'!$A153,360,'With Loan'!$D$40,0,0)</f>
        <v>586.29821182277556</v>
      </c>
      <c r="D153" s="4">
        <f t="shared" si="5"/>
        <v>1215.6460097854256</v>
      </c>
      <c r="E153" s="3">
        <f t="shared" si="4"/>
        <v>186986.0799853256</v>
      </c>
    </row>
    <row r="154" spans="1:5" x14ac:dyDescent="0.25">
      <c r="A154">
        <v>151</v>
      </c>
      <c r="B154" s="4">
        <f>-PPMT('With Loan'!$D$41/12,'30% Down Amortization'!$A154,360,'With Loan'!$D$40,0,0)</f>
        <v>631.31450983128309</v>
      </c>
      <c r="C154" s="4">
        <f>-IPMT('With Loan'!$D$41/12,'30% Down Amortization'!$A154,360,'With Loan'!$D$40,0,0)</f>
        <v>584.33149995414226</v>
      </c>
      <c r="D154" s="4">
        <f t="shared" si="5"/>
        <v>1215.6460097854253</v>
      </c>
      <c r="E154" s="3">
        <f t="shared" si="4"/>
        <v>186354.76547549432</v>
      </c>
    </row>
    <row r="155" spans="1:5" x14ac:dyDescent="0.25">
      <c r="A155">
        <v>152</v>
      </c>
      <c r="B155" s="4">
        <f>-PPMT('With Loan'!$D$41/12,'30% Down Amortization'!$A155,360,'With Loan'!$D$40,0,0)</f>
        <v>633.28736767450584</v>
      </c>
      <c r="C155" s="4">
        <f>-IPMT('With Loan'!$D$41/12,'30% Down Amortization'!$A155,360,'With Loan'!$D$40,0,0)</f>
        <v>582.35864211091939</v>
      </c>
      <c r="D155" s="4">
        <f t="shared" si="5"/>
        <v>1215.6460097854251</v>
      </c>
      <c r="E155" s="3">
        <f t="shared" si="4"/>
        <v>185721.47810781983</v>
      </c>
    </row>
    <row r="156" spans="1:5" x14ac:dyDescent="0.25">
      <c r="A156">
        <v>153</v>
      </c>
      <c r="B156" s="4">
        <f>-PPMT('With Loan'!$D$41/12,'30% Down Amortization'!$A156,360,'With Loan'!$D$40,0,0)</f>
        <v>635.26639069848875</v>
      </c>
      <c r="C156" s="4">
        <f>-IPMT('With Loan'!$D$41/12,'30% Down Amortization'!$A156,360,'With Loan'!$D$40,0,0)</f>
        <v>580.3796190869366</v>
      </c>
      <c r="D156" s="4">
        <f t="shared" si="5"/>
        <v>1215.6460097854253</v>
      </c>
      <c r="E156" s="3">
        <f t="shared" si="4"/>
        <v>185086.21171712133</v>
      </c>
    </row>
    <row r="157" spans="1:5" x14ac:dyDescent="0.25">
      <c r="A157">
        <v>154</v>
      </c>
      <c r="B157" s="4">
        <f>-PPMT('With Loan'!$D$41/12,'30% Down Amortization'!$A157,360,'With Loan'!$D$40,0,0)</f>
        <v>637.25159816942141</v>
      </c>
      <c r="C157" s="4">
        <f>-IPMT('With Loan'!$D$41/12,'30% Down Amortization'!$A157,360,'With Loan'!$D$40,0,0)</f>
        <v>578.39441161600382</v>
      </c>
      <c r="D157" s="4">
        <f t="shared" si="5"/>
        <v>1215.6460097854251</v>
      </c>
      <c r="E157" s="3">
        <f t="shared" si="4"/>
        <v>184448.96011895192</v>
      </c>
    </row>
    <row r="158" spans="1:5" x14ac:dyDescent="0.25">
      <c r="A158">
        <v>155</v>
      </c>
      <c r="B158" s="4">
        <f>-PPMT('With Loan'!$D$41/12,'30% Down Amortization'!$A158,360,'With Loan'!$D$40,0,0)</f>
        <v>639.24300941370097</v>
      </c>
      <c r="C158" s="4">
        <f>-IPMT('With Loan'!$D$41/12,'30% Down Amortization'!$A158,360,'With Loan'!$D$40,0,0)</f>
        <v>576.40300037172437</v>
      </c>
      <c r="D158" s="4">
        <f t="shared" si="5"/>
        <v>1215.6460097854253</v>
      </c>
      <c r="E158" s="3">
        <f t="shared" si="4"/>
        <v>183809.71710953821</v>
      </c>
    </row>
    <row r="159" spans="1:5" x14ac:dyDescent="0.25">
      <c r="A159">
        <v>156</v>
      </c>
      <c r="B159" s="4">
        <f>-PPMT('With Loan'!$D$41/12,'30% Down Amortization'!$A159,360,'With Loan'!$D$40,0,0)</f>
        <v>641.24064381811877</v>
      </c>
      <c r="C159" s="4">
        <f>-IPMT('With Loan'!$D$41/12,'30% Down Amortization'!$A159,360,'With Loan'!$D$40,0,0)</f>
        <v>574.40536596730658</v>
      </c>
      <c r="D159" s="4">
        <f t="shared" si="5"/>
        <v>1215.6460097854253</v>
      </c>
      <c r="E159" s="3">
        <f t="shared" si="4"/>
        <v>183168.4764657201</v>
      </c>
    </row>
    <row r="160" spans="1:5" x14ac:dyDescent="0.25">
      <c r="A160">
        <v>157</v>
      </c>
      <c r="B160" s="4">
        <f>-PPMT('With Loan'!$D$41/12,'30% Down Amortization'!$A160,360,'With Loan'!$D$40,0,0)</f>
        <v>643.24452083005042</v>
      </c>
      <c r="C160" s="4">
        <f>-IPMT('With Loan'!$D$41/12,'30% Down Amortization'!$A160,360,'With Loan'!$D$40,0,0)</f>
        <v>572.40148895537504</v>
      </c>
      <c r="D160" s="4">
        <f t="shared" si="5"/>
        <v>1215.6460097854256</v>
      </c>
      <c r="E160" s="3">
        <f t="shared" si="4"/>
        <v>182525.23194489005</v>
      </c>
    </row>
    <row r="161" spans="1:5" x14ac:dyDescent="0.25">
      <c r="A161">
        <v>158</v>
      </c>
      <c r="B161" s="4">
        <f>-PPMT('With Loan'!$D$41/12,'30% Down Amortization'!$A161,360,'With Loan'!$D$40,0,0)</f>
        <v>645.25465995764444</v>
      </c>
      <c r="C161" s="4">
        <f>-IPMT('With Loan'!$D$41/12,'30% Down Amortization'!$A161,360,'With Loan'!$D$40,0,0)</f>
        <v>570.39134982778114</v>
      </c>
      <c r="D161" s="4">
        <f t="shared" si="5"/>
        <v>1215.6460097854256</v>
      </c>
      <c r="E161" s="3">
        <f t="shared" si="4"/>
        <v>181879.97728493242</v>
      </c>
    </row>
    <row r="162" spans="1:5" x14ac:dyDescent="0.25">
      <c r="A162">
        <v>159</v>
      </c>
      <c r="B162" s="4">
        <f>-PPMT('With Loan'!$D$41/12,'30% Down Amortization'!$A162,360,'With Loan'!$D$40,0,0)</f>
        <v>647.27108077001185</v>
      </c>
      <c r="C162" s="4">
        <f>-IPMT('With Loan'!$D$41/12,'30% Down Amortization'!$A162,360,'With Loan'!$D$40,0,0)</f>
        <v>568.37492901541361</v>
      </c>
      <c r="D162" s="4">
        <f t="shared" si="5"/>
        <v>1215.6460097854256</v>
      </c>
      <c r="E162" s="3">
        <f t="shared" ref="E162:E225" si="6">E161-B162</f>
        <v>181232.70620416242</v>
      </c>
    </row>
    <row r="163" spans="1:5" x14ac:dyDescent="0.25">
      <c r="A163">
        <v>160</v>
      </c>
      <c r="B163" s="4">
        <f>-PPMT('With Loan'!$D$41/12,'30% Down Amortization'!$A163,360,'With Loan'!$D$40,0,0)</f>
        <v>649.29380289741823</v>
      </c>
      <c r="C163" s="4">
        <f>-IPMT('With Loan'!$D$41/12,'30% Down Amortization'!$A163,360,'With Loan'!$D$40,0,0)</f>
        <v>566.35220688800723</v>
      </c>
      <c r="D163" s="4">
        <f t="shared" si="5"/>
        <v>1215.6460097854256</v>
      </c>
      <c r="E163" s="3">
        <f t="shared" si="6"/>
        <v>180583.412401265</v>
      </c>
    </row>
    <row r="164" spans="1:5" x14ac:dyDescent="0.25">
      <c r="A164">
        <v>161</v>
      </c>
      <c r="B164" s="4">
        <f>-PPMT('With Loan'!$D$41/12,'30% Down Amortization'!$A164,360,'With Loan'!$D$40,0,0)</f>
        <v>651.32284603147264</v>
      </c>
      <c r="C164" s="4">
        <f>-IPMT('With Loan'!$D$41/12,'30% Down Amortization'!$A164,360,'With Loan'!$D$40,0,0)</f>
        <v>564.32316375395283</v>
      </c>
      <c r="D164" s="4">
        <f t="shared" si="5"/>
        <v>1215.6460097854256</v>
      </c>
      <c r="E164" s="3">
        <f t="shared" si="6"/>
        <v>179932.08955523351</v>
      </c>
    </row>
    <row r="165" spans="1:5" x14ac:dyDescent="0.25">
      <c r="A165">
        <v>162</v>
      </c>
      <c r="B165" s="4">
        <f>-PPMT('With Loan'!$D$41/12,'30% Down Amortization'!$A165,360,'With Loan'!$D$40,0,0)</f>
        <v>653.35822992532087</v>
      </c>
      <c r="C165" s="4">
        <f>-IPMT('With Loan'!$D$41/12,'30% Down Amortization'!$A165,360,'With Loan'!$D$40,0,0)</f>
        <v>562.28777986010448</v>
      </c>
      <c r="D165" s="4">
        <f t="shared" si="5"/>
        <v>1215.6460097854253</v>
      </c>
      <c r="E165" s="3">
        <f t="shared" si="6"/>
        <v>179278.73132530818</v>
      </c>
    </row>
    <row r="166" spans="1:5" x14ac:dyDescent="0.25">
      <c r="A166">
        <v>163</v>
      </c>
      <c r="B166" s="4">
        <f>-PPMT('With Loan'!$D$41/12,'30% Down Amortization'!$A166,360,'With Loan'!$D$40,0,0)</f>
        <v>655.39997439383762</v>
      </c>
      <c r="C166" s="4">
        <f>-IPMT('With Loan'!$D$41/12,'30% Down Amortization'!$A166,360,'With Loan'!$D$40,0,0)</f>
        <v>560.24603539158784</v>
      </c>
      <c r="D166" s="4">
        <f t="shared" si="5"/>
        <v>1215.6460097854256</v>
      </c>
      <c r="E166" s="3">
        <f t="shared" si="6"/>
        <v>178623.33135091435</v>
      </c>
    </row>
    <row r="167" spans="1:5" x14ac:dyDescent="0.25">
      <c r="A167">
        <v>164</v>
      </c>
      <c r="B167" s="4">
        <f>-PPMT('With Loan'!$D$41/12,'30% Down Amortization'!$A167,360,'With Loan'!$D$40,0,0)</f>
        <v>657.44809931381826</v>
      </c>
      <c r="C167" s="4">
        <f>-IPMT('With Loan'!$D$41/12,'30% Down Amortization'!$A167,360,'With Loan'!$D$40,0,0)</f>
        <v>558.19791047160709</v>
      </c>
      <c r="D167" s="4">
        <f t="shared" si="5"/>
        <v>1215.6460097854253</v>
      </c>
      <c r="E167" s="3">
        <f t="shared" si="6"/>
        <v>177965.88325160052</v>
      </c>
    </row>
    <row r="168" spans="1:5" x14ac:dyDescent="0.25">
      <c r="A168">
        <v>165</v>
      </c>
      <c r="B168" s="4">
        <f>-PPMT('With Loan'!$D$41/12,'30% Down Amortization'!$A168,360,'With Loan'!$D$40,0,0)</f>
        <v>659.50262462417402</v>
      </c>
      <c r="C168" s="4">
        <f>-IPMT('With Loan'!$D$41/12,'30% Down Amortization'!$A168,360,'With Loan'!$D$40,0,0)</f>
        <v>556.14338516125144</v>
      </c>
      <c r="D168" s="4">
        <f t="shared" si="5"/>
        <v>1215.6460097854256</v>
      </c>
      <c r="E168" s="3">
        <f t="shared" si="6"/>
        <v>177306.38062697634</v>
      </c>
    </row>
    <row r="169" spans="1:5" x14ac:dyDescent="0.25">
      <c r="A169">
        <v>166</v>
      </c>
      <c r="B169" s="4">
        <f>-PPMT('With Loan'!$D$41/12,'30% Down Amortization'!$A169,360,'With Loan'!$D$40,0,0)</f>
        <v>661.56357032612459</v>
      </c>
      <c r="C169" s="4">
        <f>-IPMT('With Loan'!$D$41/12,'30% Down Amortization'!$A169,360,'With Loan'!$D$40,0,0)</f>
        <v>554.08243945930076</v>
      </c>
      <c r="D169" s="4">
        <f t="shared" si="5"/>
        <v>1215.6460097854253</v>
      </c>
      <c r="E169" s="3">
        <f t="shared" si="6"/>
        <v>176644.81705665021</v>
      </c>
    </row>
    <row r="170" spans="1:5" x14ac:dyDescent="0.25">
      <c r="A170">
        <v>167</v>
      </c>
      <c r="B170" s="4">
        <f>-PPMT('With Loan'!$D$41/12,'30% Down Amortization'!$A170,360,'With Loan'!$D$40,0,0)</f>
        <v>663.63095648339367</v>
      </c>
      <c r="C170" s="4">
        <f>-IPMT('With Loan'!$D$41/12,'30% Down Amortization'!$A170,360,'With Loan'!$D$40,0,0)</f>
        <v>552.01505330203179</v>
      </c>
      <c r="D170" s="4">
        <f t="shared" si="5"/>
        <v>1215.6460097854256</v>
      </c>
      <c r="E170" s="3">
        <f t="shared" si="6"/>
        <v>175981.18610016681</v>
      </c>
    </row>
    <row r="171" spans="1:5" x14ac:dyDescent="0.25">
      <c r="A171">
        <v>168</v>
      </c>
      <c r="B171" s="4">
        <f>-PPMT('With Loan'!$D$41/12,'30% Down Amortization'!$A171,360,'With Loan'!$D$40,0,0)</f>
        <v>665.70480322240428</v>
      </c>
      <c r="C171" s="4">
        <f>-IPMT('With Loan'!$D$41/12,'30% Down Amortization'!$A171,360,'With Loan'!$D$40,0,0)</f>
        <v>549.94120656302107</v>
      </c>
      <c r="D171" s="4">
        <f t="shared" si="5"/>
        <v>1215.6460097854253</v>
      </c>
      <c r="E171" s="3">
        <f t="shared" si="6"/>
        <v>175315.4812969444</v>
      </c>
    </row>
    <row r="172" spans="1:5" x14ac:dyDescent="0.25">
      <c r="A172">
        <v>169</v>
      </c>
      <c r="B172" s="4">
        <f>-PPMT('With Loan'!$D$41/12,'30% Down Amortization'!$A172,360,'With Loan'!$D$40,0,0)</f>
        <v>667.78513073247439</v>
      </c>
      <c r="C172" s="4">
        <f>-IPMT('With Loan'!$D$41/12,'30% Down Amortization'!$A172,360,'With Loan'!$D$40,0,0)</f>
        <v>547.86087905295108</v>
      </c>
      <c r="D172" s="4">
        <f t="shared" si="5"/>
        <v>1215.6460097854256</v>
      </c>
      <c r="E172" s="3">
        <f t="shared" si="6"/>
        <v>174647.69616621194</v>
      </c>
    </row>
    <row r="173" spans="1:5" x14ac:dyDescent="0.25">
      <c r="A173">
        <v>170</v>
      </c>
      <c r="B173" s="4">
        <f>-PPMT('With Loan'!$D$41/12,'30% Down Amortization'!$A173,360,'With Loan'!$D$40,0,0)</f>
        <v>669.87195926601316</v>
      </c>
      <c r="C173" s="4">
        <f>-IPMT('With Loan'!$D$41/12,'30% Down Amortization'!$A173,360,'With Loan'!$D$40,0,0)</f>
        <v>545.77405051941196</v>
      </c>
      <c r="D173" s="4">
        <f t="shared" si="5"/>
        <v>1215.6460097854251</v>
      </c>
      <c r="E173" s="3">
        <f t="shared" si="6"/>
        <v>173977.82420694592</v>
      </c>
    </row>
    <row r="174" spans="1:5" x14ac:dyDescent="0.25">
      <c r="A174">
        <v>171</v>
      </c>
      <c r="B174" s="4">
        <f>-PPMT('With Loan'!$D$41/12,'30% Down Amortization'!$A174,360,'With Loan'!$D$40,0,0)</f>
        <v>671.96530913871959</v>
      </c>
      <c r="C174" s="4">
        <f>-IPMT('With Loan'!$D$41/12,'30% Down Amortization'!$A174,360,'With Loan'!$D$40,0,0)</f>
        <v>543.68070064670587</v>
      </c>
      <c r="D174" s="4">
        <f t="shared" si="5"/>
        <v>1215.6460097854256</v>
      </c>
      <c r="E174" s="3">
        <f t="shared" si="6"/>
        <v>173305.85889780719</v>
      </c>
    </row>
    <row r="175" spans="1:5" x14ac:dyDescent="0.25">
      <c r="A175">
        <v>172</v>
      </c>
      <c r="B175" s="4">
        <f>-PPMT('With Loan'!$D$41/12,'30% Down Amortization'!$A175,360,'With Loan'!$D$40,0,0)</f>
        <v>674.0652007297781</v>
      </c>
      <c r="C175" s="4">
        <f>-IPMT('With Loan'!$D$41/12,'30% Down Amortization'!$A175,360,'With Loan'!$D$40,0,0)</f>
        <v>541.58080905564725</v>
      </c>
      <c r="D175" s="4">
        <f t="shared" si="5"/>
        <v>1215.6460097854253</v>
      </c>
      <c r="E175" s="3">
        <f t="shared" si="6"/>
        <v>172631.7936970774</v>
      </c>
    </row>
    <row r="176" spans="1:5" x14ac:dyDescent="0.25">
      <c r="A176">
        <v>173</v>
      </c>
      <c r="B176" s="4">
        <f>-PPMT('With Loan'!$D$41/12,'30% Down Amortization'!$A176,360,'With Loan'!$D$40,0,0)</f>
        <v>676.17165448205856</v>
      </c>
      <c r="C176" s="4">
        <f>-IPMT('With Loan'!$D$41/12,'30% Down Amortization'!$A176,360,'With Loan'!$D$40,0,0)</f>
        <v>539.47435530336679</v>
      </c>
      <c r="D176" s="4">
        <f t="shared" si="5"/>
        <v>1215.6460097854253</v>
      </c>
      <c r="E176" s="3">
        <f t="shared" si="6"/>
        <v>171955.62204259535</v>
      </c>
    </row>
    <row r="177" spans="1:5" x14ac:dyDescent="0.25">
      <c r="A177">
        <v>174</v>
      </c>
      <c r="B177" s="4">
        <f>-PPMT('With Loan'!$D$41/12,'30% Down Amortization'!$A177,360,'With Loan'!$D$40,0,0)</f>
        <v>678.28469090231511</v>
      </c>
      <c r="C177" s="4">
        <f>-IPMT('With Loan'!$D$41/12,'30% Down Amortization'!$A177,360,'With Loan'!$D$40,0,0)</f>
        <v>537.36131888311036</v>
      </c>
      <c r="D177" s="4">
        <f t="shared" si="5"/>
        <v>1215.6460097854256</v>
      </c>
      <c r="E177" s="3">
        <f t="shared" si="6"/>
        <v>171277.33735169304</v>
      </c>
    </row>
    <row r="178" spans="1:5" x14ac:dyDescent="0.25">
      <c r="A178">
        <v>175</v>
      </c>
      <c r="B178" s="4">
        <f>-PPMT('With Loan'!$D$41/12,'30% Down Amortization'!$A178,360,'With Loan'!$D$40,0,0)</f>
        <v>680.40433056138488</v>
      </c>
      <c r="C178" s="4">
        <f>-IPMT('With Loan'!$D$41/12,'30% Down Amortization'!$A178,360,'With Loan'!$D$40,0,0)</f>
        <v>535.24167922404058</v>
      </c>
      <c r="D178" s="4">
        <f t="shared" si="5"/>
        <v>1215.6460097854256</v>
      </c>
      <c r="E178" s="3">
        <f t="shared" si="6"/>
        <v>170596.93302113167</v>
      </c>
    </row>
    <row r="179" spans="1:5" x14ac:dyDescent="0.25">
      <c r="A179">
        <v>176</v>
      </c>
      <c r="B179" s="4">
        <f>-PPMT('With Loan'!$D$41/12,'30% Down Amortization'!$A179,360,'With Loan'!$D$40,0,0)</f>
        <v>682.53059409438902</v>
      </c>
      <c r="C179" s="4">
        <f>-IPMT('With Loan'!$D$41/12,'30% Down Amortization'!$A179,360,'With Loan'!$D$40,0,0)</f>
        <v>533.11541569103622</v>
      </c>
      <c r="D179" s="4">
        <f t="shared" si="5"/>
        <v>1215.6460097854251</v>
      </c>
      <c r="E179" s="3">
        <f t="shared" si="6"/>
        <v>169914.40242703728</v>
      </c>
    </row>
    <row r="180" spans="1:5" x14ac:dyDescent="0.25">
      <c r="A180">
        <v>177</v>
      </c>
      <c r="B180" s="4">
        <f>-PPMT('With Loan'!$D$41/12,'30% Down Amortization'!$A180,360,'With Loan'!$D$40,0,0)</f>
        <v>684.66350220093409</v>
      </c>
      <c r="C180" s="4">
        <f>-IPMT('With Loan'!$D$41/12,'30% Down Amortization'!$A180,360,'With Loan'!$D$40,0,0)</f>
        <v>530.98250758449115</v>
      </c>
      <c r="D180" s="4">
        <f t="shared" si="5"/>
        <v>1215.6460097854251</v>
      </c>
      <c r="E180" s="3">
        <f t="shared" si="6"/>
        <v>169229.73892483633</v>
      </c>
    </row>
    <row r="181" spans="1:5" x14ac:dyDescent="0.25">
      <c r="A181">
        <v>178</v>
      </c>
      <c r="B181" s="4">
        <f>-PPMT('With Loan'!$D$41/12,'30% Down Amortization'!$A181,360,'With Loan'!$D$40,0,0)</f>
        <v>686.80307564531211</v>
      </c>
      <c r="C181" s="4">
        <f>-IPMT('With Loan'!$D$41/12,'30% Down Amortization'!$A181,360,'With Loan'!$D$40,0,0)</f>
        <v>528.84293414011336</v>
      </c>
      <c r="D181" s="4">
        <f t="shared" si="5"/>
        <v>1215.6460097854256</v>
      </c>
      <c r="E181" s="3">
        <f t="shared" si="6"/>
        <v>168542.93584919101</v>
      </c>
    </row>
    <row r="182" spans="1:5" x14ac:dyDescent="0.25">
      <c r="A182">
        <v>179</v>
      </c>
      <c r="B182" s="4">
        <f>-PPMT('With Loan'!$D$41/12,'30% Down Amortization'!$A182,360,'With Loan'!$D$40,0,0)</f>
        <v>688.94933525670365</v>
      </c>
      <c r="C182" s="4">
        <f>-IPMT('With Loan'!$D$41/12,'30% Down Amortization'!$A182,360,'With Loan'!$D$40,0,0)</f>
        <v>526.69667452872181</v>
      </c>
      <c r="D182" s="4">
        <f t="shared" si="5"/>
        <v>1215.6460097854256</v>
      </c>
      <c r="E182" s="3">
        <f t="shared" si="6"/>
        <v>167853.9865139343</v>
      </c>
    </row>
    <row r="183" spans="1:5" x14ac:dyDescent="0.25">
      <c r="A183">
        <v>180</v>
      </c>
      <c r="B183" s="4">
        <f>-PPMT('With Loan'!$D$41/12,'30% Down Amortization'!$A183,360,'With Loan'!$D$40,0,0)</f>
        <v>691.10230192938081</v>
      </c>
      <c r="C183" s="4">
        <f>-IPMT('With Loan'!$D$41/12,'30% Down Amortization'!$A183,360,'With Loan'!$D$40,0,0)</f>
        <v>524.54370785604453</v>
      </c>
      <c r="D183" s="4">
        <f t="shared" si="5"/>
        <v>1215.6460097854253</v>
      </c>
      <c r="E183" s="3">
        <f t="shared" si="6"/>
        <v>167162.88421200492</v>
      </c>
    </row>
    <row r="184" spans="1:5" x14ac:dyDescent="0.25">
      <c r="A184">
        <v>181</v>
      </c>
      <c r="B184" s="4">
        <f>-PPMT('With Loan'!$D$41/12,'30% Down Amortization'!$A184,360,'With Loan'!$D$40,0,0)</f>
        <v>693.26199662291015</v>
      </c>
      <c r="C184" s="4">
        <f>-IPMT('With Loan'!$D$41/12,'30% Down Amortization'!$A184,360,'With Loan'!$D$40,0,0)</f>
        <v>522.3840131625152</v>
      </c>
      <c r="D184" s="4">
        <f t="shared" si="5"/>
        <v>1215.6460097854253</v>
      </c>
      <c r="E184" s="3">
        <f t="shared" si="6"/>
        <v>166469.62221538203</v>
      </c>
    </row>
    <row r="185" spans="1:5" x14ac:dyDescent="0.25">
      <c r="A185">
        <v>182</v>
      </c>
      <c r="B185" s="4">
        <f>-PPMT('With Loan'!$D$41/12,'30% Down Amortization'!$A185,360,'With Loan'!$D$40,0,0)</f>
        <v>695.4284403623567</v>
      </c>
      <c r="C185" s="4">
        <f>-IPMT('With Loan'!$D$41/12,'30% Down Amortization'!$A185,360,'With Loan'!$D$40,0,0)</f>
        <v>520.21756942306865</v>
      </c>
      <c r="D185" s="4">
        <f t="shared" si="5"/>
        <v>1215.6460097854253</v>
      </c>
      <c r="E185" s="3">
        <f t="shared" si="6"/>
        <v>165774.19377501967</v>
      </c>
    </row>
    <row r="186" spans="1:5" x14ac:dyDescent="0.25">
      <c r="A186">
        <v>183</v>
      </c>
      <c r="B186" s="4">
        <f>-PPMT('With Loan'!$D$41/12,'30% Down Amortization'!$A186,360,'With Loan'!$D$40,0,0)</f>
        <v>697.601654238489</v>
      </c>
      <c r="C186" s="4">
        <f>-IPMT('With Loan'!$D$41/12,'30% Down Amortization'!$A186,360,'With Loan'!$D$40,0,0)</f>
        <v>518.04435554693634</v>
      </c>
      <c r="D186" s="4">
        <f t="shared" si="5"/>
        <v>1215.6460097854253</v>
      </c>
      <c r="E186" s="3">
        <f t="shared" si="6"/>
        <v>165076.59212078119</v>
      </c>
    </row>
    <row r="187" spans="1:5" x14ac:dyDescent="0.25">
      <c r="A187">
        <v>184</v>
      </c>
      <c r="B187" s="4">
        <f>-PPMT('With Loan'!$D$41/12,'30% Down Amortization'!$A187,360,'With Loan'!$D$40,0,0)</f>
        <v>699.78165940798442</v>
      </c>
      <c r="C187" s="4">
        <f>-IPMT('With Loan'!$D$41/12,'30% Down Amortization'!$A187,360,'With Loan'!$D$40,0,0)</f>
        <v>515.86435037744104</v>
      </c>
      <c r="D187" s="4">
        <f t="shared" si="5"/>
        <v>1215.6460097854256</v>
      </c>
      <c r="E187" s="3">
        <f t="shared" si="6"/>
        <v>164376.81046137321</v>
      </c>
    </row>
    <row r="188" spans="1:5" x14ac:dyDescent="0.25">
      <c r="A188">
        <v>185</v>
      </c>
      <c r="B188" s="4">
        <f>-PPMT('With Loan'!$D$41/12,'30% Down Amortization'!$A188,360,'With Loan'!$D$40,0,0)</f>
        <v>701.96847709363442</v>
      </c>
      <c r="C188" s="4">
        <f>-IPMT('With Loan'!$D$41/12,'30% Down Amortization'!$A188,360,'With Loan'!$D$40,0,0)</f>
        <v>513.67753269179116</v>
      </c>
      <c r="D188" s="4">
        <f t="shared" si="5"/>
        <v>1215.6460097854256</v>
      </c>
      <c r="E188" s="3">
        <f t="shared" si="6"/>
        <v>163674.84198427957</v>
      </c>
    </row>
    <row r="189" spans="1:5" x14ac:dyDescent="0.25">
      <c r="A189">
        <v>186</v>
      </c>
      <c r="B189" s="4">
        <f>-PPMT('With Loan'!$D$41/12,'30% Down Amortization'!$A189,360,'With Loan'!$D$40,0,0)</f>
        <v>704.16212858455197</v>
      </c>
      <c r="C189" s="4">
        <f>-IPMT('With Loan'!$D$41/12,'30% Down Amortization'!$A189,360,'With Loan'!$D$40,0,0)</f>
        <v>511.48388120087344</v>
      </c>
      <c r="D189" s="4">
        <f t="shared" si="5"/>
        <v>1215.6460097854253</v>
      </c>
      <c r="E189" s="3">
        <f t="shared" si="6"/>
        <v>162970.67985569502</v>
      </c>
    </row>
    <row r="190" spans="1:5" x14ac:dyDescent="0.25">
      <c r="A190">
        <v>187</v>
      </c>
      <c r="B190" s="4">
        <f>-PPMT('With Loan'!$D$41/12,'30% Down Amortization'!$A190,360,'With Loan'!$D$40,0,0)</f>
        <v>706.36263523637854</v>
      </c>
      <c r="C190" s="4">
        <f>-IPMT('With Loan'!$D$41/12,'30% Down Amortization'!$A190,360,'With Loan'!$D$40,0,0)</f>
        <v>509.28337454904681</v>
      </c>
      <c r="D190" s="4">
        <f t="shared" si="5"/>
        <v>1215.6460097854253</v>
      </c>
      <c r="E190" s="3">
        <f t="shared" si="6"/>
        <v>162264.31722045864</v>
      </c>
    </row>
    <row r="191" spans="1:5" x14ac:dyDescent="0.25">
      <c r="A191">
        <v>188</v>
      </c>
      <c r="B191" s="4">
        <f>-PPMT('With Loan'!$D$41/12,'30% Down Amortization'!$A191,360,'With Loan'!$D$40,0,0)</f>
        <v>708.57001847149229</v>
      </c>
      <c r="C191" s="4">
        <f>-IPMT('With Loan'!$D$41/12,'30% Down Amortization'!$A191,360,'With Loan'!$D$40,0,0)</f>
        <v>507.07599131393295</v>
      </c>
      <c r="D191" s="4">
        <f t="shared" si="5"/>
        <v>1215.6460097854251</v>
      </c>
      <c r="E191" s="3">
        <f t="shared" si="6"/>
        <v>161555.74720198716</v>
      </c>
    </row>
    <row r="192" spans="1:5" x14ac:dyDescent="0.25">
      <c r="A192">
        <v>189</v>
      </c>
      <c r="B192" s="4">
        <f>-PPMT('With Loan'!$D$41/12,'30% Down Amortization'!$A192,360,'With Loan'!$D$40,0,0)</f>
        <v>710.78429977921576</v>
      </c>
      <c r="C192" s="4">
        <f>-IPMT('With Loan'!$D$41/12,'30% Down Amortization'!$A192,360,'With Loan'!$D$40,0,0)</f>
        <v>504.86171000620959</v>
      </c>
      <c r="D192" s="4">
        <f t="shared" si="5"/>
        <v>1215.6460097854253</v>
      </c>
      <c r="E192" s="3">
        <f t="shared" si="6"/>
        <v>160844.96290220795</v>
      </c>
    </row>
    <row r="193" spans="1:5" x14ac:dyDescent="0.25">
      <c r="A193">
        <v>190</v>
      </c>
      <c r="B193" s="4">
        <f>-PPMT('With Loan'!$D$41/12,'30% Down Amortization'!$A193,360,'With Loan'!$D$40,0,0)</f>
        <v>713.00550071602584</v>
      </c>
      <c r="C193" s="4">
        <f>-IPMT('With Loan'!$D$41/12,'30% Down Amortization'!$A193,360,'With Loan'!$D$40,0,0)</f>
        <v>502.64050906939963</v>
      </c>
      <c r="D193" s="4">
        <f t="shared" si="5"/>
        <v>1215.6460097854256</v>
      </c>
      <c r="E193" s="3">
        <f t="shared" si="6"/>
        <v>160131.95740149193</v>
      </c>
    </row>
    <row r="194" spans="1:5" x14ac:dyDescent="0.25">
      <c r="A194">
        <v>191</v>
      </c>
      <c r="B194" s="4">
        <f>-PPMT('With Loan'!$D$41/12,'30% Down Amortization'!$A194,360,'With Loan'!$D$40,0,0)</f>
        <v>715.2336429057633</v>
      </c>
      <c r="C194" s="4">
        <f>-IPMT('With Loan'!$D$41/12,'30% Down Amortization'!$A194,360,'With Loan'!$D$40,0,0)</f>
        <v>500.41236687966204</v>
      </c>
      <c r="D194" s="4">
        <f t="shared" si="5"/>
        <v>1215.6460097854253</v>
      </c>
      <c r="E194" s="3">
        <f t="shared" si="6"/>
        <v>159416.72375858616</v>
      </c>
    </row>
    <row r="195" spans="1:5" x14ac:dyDescent="0.25">
      <c r="A195">
        <v>192</v>
      </c>
      <c r="B195" s="4">
        <f>-PPMT('With Loan'!$D$41/12,'30% Down Amortization'!$A195,360,'With Loan'!$D$40,0,0)</f>
        <v>717.46874803984383</v>
      </c>
      <c r="C195" s="4">
        <f>-IPMT('With Loan'!$D$41/12,'30% Down Amortization'!$A195,360,'With Loan'!$D$40,0,0)</f>
        <v>498.17726174558152</v>
      </c>
      <c r="D195" s="4">
        <f t="shared" si="5"/>
        <v>1215.6460097854253</v>
      </c>
      <c r="E195" s="3">
        <f t="shared" si="6"/>
        <v>158699.2550105463</v>
      </c>
    </row>
    <row r="196" spans="1:5" x14ac:dyDescent="0.25">
      <c r="A196">
        <v>193</v>
      </c>
      <c r="B196" s="4">
        <f>-PPMT('With Loan'!$D$41/12,'30% Down Amortization'!$A196,360,'With Loan'!$D$40,0,0)</f>
        <v>719.71083787746841</v>
      </c>
      <c r="C196" s="4">
        <f>-IPMT('With Loan'!$D$41/12,'30% Down Amortization'!$A196,360,'With Loan'!$D$40,0,0)</f>
        <v>495.93517190795694</v>
      </c>
      <c r="D196" s="4">
        <f t="shared" si="5"/>
        <v>1215.6460097854253</v>
      </c>
      <c r="E196" s="3">
        <f t="shared" si="6"/>
        <v>157979.54417266883</v>
      </c>
    </row>
    <row r="197" spans="1:5" x14ac:dyDescent="0.25">
      <c r="A197">
        <v>194</v>
      </c>
      <c r="B197" s="4">
        <f>-PPMT('With Loan'!$D$41/12,'30% Down Amortization'!$A197,360,'With Loan'!$D$40,0,0)</f>
        <v>721.95993424583548</v>
      </c>
      <c r="C197" s="4">
        <f>-IPMT('With Loan'!$D$41/12,'30% Down Amortization'!$A197,360,'With Loan'!$D$40,0,0)</f>
        <v>493.68607553958987</v>
      </c>
      <c r="D197" s="4">
        <f t="shared" ref="D197:D260" si="7">B197+C197</f>
        <v>1215.6460097854253</v>
      </c>
      <c r="E197" s="3">
        <f t="shared" si="6"/>
        <v>157257.58423842301</v>
      </c>
    </row>
    <row r="198" spans="1:5" x14ac:dyDescent="0.25">
      <c r="A198">
        <v>195</v>
      </c>
      <c r="B198" s="4">
        <f>-PPMT('With Loan'!$D$41/12,'30% Down Amortization'!$A198,360,'With Loan'!$D$40,0,0)</f>
        <v>724.2160590403538</v>
      </c>
      <c r="C198" s="4">
        <f>-IPMT('With Loan'!$D$41/12,'30% Down Amortization'!$A198,360,'With Loan'!$D$40,0,0)</f>
        <v>491.42995074507155</v>
      </c>
      <c r="D198" s="4">
        <f t="shared" si="7"/>
        <v>1215.6460097854253</v>
      </c>
      <c r="E198" s="3">
        <f t="shared" si="6"/>
        <v>156533.36817938264</v>
      </c>
    </row>
    <row r="199" spans="1:5" x14ac:dyDescent="0.25">
      <c r="A199">
        <v>196</v>
      </c>
      <c r="B199" s="4">
        <f>-PPMT('With Loan'!$D$41/12,'30% Down Amortization'!$A199,360,'With Loan'!$D$40,0,0)</f>
        <v>726.47923422485474</v>
      </c>
      <c r="C199" s="4">
        <f>-IPMT('With Loan'!$D$41/12,'30% Down Amortization'!$A199,360,'With Loan'!$D$40,0,0)</f>
        <v>489.1667755605705</v>
      </c>
      <c r="D199" s="4">
        <f t="shared" si="7"/>
        <v>1215.6460097854251</v>
      </c>
      <c r="E199" s="3">
        <f t="shared" si="6"/>
        <v>155806.88894515779</v>
      </c>
    </row>
    <row r="200" spans="1:5" x14ac:dyDescent="0.25">
      <c r="A200">
        <v>197</v>
      </c>
      <c r="B200" s="4">
        <f>-PPMT('With Loan'!$D$41/12,'30% Down Amortization'!$A200,360,'With Loan'!$D$40,0,0)</f>
        <v>728.74948183180743</v>
      </c>
      <c r="C200" s="4">
        <f>-IPMT('With Loan'!$D$41/12,'30% Down Amortization'!$A200,360,'With Loan'!$D$40,0,0)</f>
        <v>486.89652795361786</v>
      </c>
      <c r="D200" s="4">
        <f t="shared" si="7"/>
        <v>1215.6460097854253</v>
      </c>
      <c r="E200" s="3">
        <f t="shared" si="6"/>
        <v>155078.13946332599</v>
      </c>
    </row>
    <row r="201" spans="1:5" x14ac:dyDescent="0.25">
      <c r="A201">
        <v>198</v>
      </c>
      <c r="B201" s="4">
        <f>-PPMT('With Loan'!$D$41/12,'30% Down Amortization'!$A201,360,'With Loan'!$D$40,0,0)</f>
        <v>731.02682396253192</v>
      </c>
      <c r="C201" s="4">
        <f>-IPMT('With Loan'!$D$41/12,'30% Down Amortization'!$A201,360,'With Loan'!$D$40,0,0)</f>
        <v>484.61918582289348</v>
      </c>
      <c r="D201" s="4">
        <f t="shared" si="7"/>
        <v>1215.6460097854253</v>
      </c>
      <c r="E201" s="3">
        <f t="shared" si="6"/>
        <v>154347.11263936345</v>
      </c>
    </row>
    <row r="202" spans="1:5" x14ac:dyDescent="0.25">
      <c r="A202">
        <v>199</v>
      </c>
      <c r="B202" s="4">
        <f>-PPMT('With Loan'!$D$41/12,'30% Down Amortization'!$A202,360,'With Loan'!$D$40,0,0)</f>
        <v>733.31128278741483</v>
      </c>
      <c r="C202" s="4">
        <f>-IPMT('With Loan'!$D$41/12,'30% Down Amortization'!$A202,360,'With Loan'!$D$40,0,0)</f>
        <v>482.33472699801052</v>
      </c>
      <c r="D202" s="4">
        <f t="shared" si="7"/>
        <v>1215.6460097854253</v>
      </c>
      <c r="E202" s="3">
        <f t="shared" si="6"/>
        <v>153613.80135657603</v>
      </c>
    </row>
    <row r="203" spans="1:5" x14ac:dyDescent="0.25">
      <c r="A203">
        <v>200</v>
      </c>
      <c r="B203" s="4">
        <f>-PPMT('With Loan'!$D$41/12,'30% Down Amortization'!$A203,360,'With Loan'!$D$40,0,0)</f>
        <v>735.60288054612545</v>
      </c>
      <c r="C203" s="4">
        <f>-IPMT('With Loan'!$D$41/12,'30% Down Amortization'!$A203,360,'With Loan'!$D$40,0,0)</f>
        <v>480.0431292392999</v>
      </c>
      <c r="D203" s="4">
        <f t="shared" si="7"/>
        <v>1215.6460097854253</v>
      </c>
      <c r="E203" s="3">
        <f t="shared" si="6"/>
        <v>152878.19847602991</v>
      </c>
    </row>
    <row r="204" spans="1:5" x14ac:dyDescent="0.25">
      <c r="A204">
        <v>201</v>
      </c>
      <c r="B204" s="4">
        <f>-PPMT('With Loan'!$D$41/12,'30% Down Amortization'!$A204,360,'With Loan'!$D$40,0,0)</f>
        <v>737.90163954783213</v>
      </c>
      <c r="C204" s="4">
        <f>-IPMT('With Loan'!$D$41/12,'30% Down Amortization'!$A204,360,'With Loan'!$D$40,0,0)</f>
        <v>477.74437023759322</v>
      </c>
      <c r="D204" s="4">
        <f t="shared" si="7"/>
        <v>1215.6460097854253</v>
      </c>
      <c r="E204" s="3">
        <f t="shared" si="6"/>
        <v>152140.29683648207</v>
      </c>
    </row>
    <row r="205" spans="1:5" x14ac:dyDescent="0.25">
      <c r="A205">
        <v>202</v>
      </c>
      <c r="B205" s="4">
        <f>-PPMT('With Loan'!$D$41/12,'30% Down Amortization'!$A205,360,'With Loan'!$D$40,0,0)</f>
        <v>740.20758217141918</v>
      </c>
      <c r="C205" s="4">
        <f>-IPMT('With Loan'!$D$41/12,'30% Down Amortization'!$A205,360,'With Loan'!$D$40,0,0)</f>
        <v>475.43842761400623</v>
      </c>
      <c r="D205" s="4">
        <f t="shared" si="7"/>
        <v>1215.6460097854253</v>
      </c>
      <c r="E205" s="3">
        <f t="shared" si="6"/>
        <v>151400.08925431065</v>
      </c>
    </row>
    <row r="206" spans="1:5" x14ac:dyDescent="0.25">
      <c r="A206">
        <v>203</v>
      </c>
      <c r="B206" s="4">
        <f>-PPMT('With Loan'!$D$41/12,'30% Down Amortization'!$A206,360,'With Loan'!$D$40,0,0)</f>
        <v>742.52073086570488</v>
      </c>
      <c r="C206" s="4">
        <f>-IPMT('With Loan'!$D$41/12,'30% Down Amortization'!$A206,360,'With Loan'!$D$40,0,0)</f>
        <v>473.12527891972053</v>
      </c>
      <c r="D206" s="4">
        <f t="shared" si="7"/>
        <v>1215.6460097854253</v>
      </c>
      <c r="E206" s="3">
        <f t="shared" si="6"/>
        <v>150657.56852344493</v>
      </c>
    </row>
    <row r="207" spans="1:5" x14ac:dyDescent="0.25">
      <c r="A207">
        <v>204</v>
      </c>
      <c r="B207" s="4">
        <f>-PPMT('With Loan'!$D$41/12,'30% Down Amortization'!$A207,360,'With Loan'!$D$40,0,0)</f>
        <v>744.84110814966004</v>
      </c>
      <c r="C207" s="4">
        <f>-IPMT('With Loan'!$D$41/12,'30% Down Amortization'!$A207,360,'With Loan'!$D$40,0,0)</f>
        <v>470.8049016357653</v>
      </c>
      <c r="D207" s="4">
        <f t="shared" si="7"/>
        <v>1215.6460097854253</v>
      </c>
      <c r="E207" s="3">
        <f t="shared" si="6"/>
        <v>149912.72741529526</v>
      </c>
    </row>
    <row r="208" spans="1:5" x14ac:dyDescent="0.25">
      <c r="A208">
        <v>205</v>
      </c>
      <c r="B208" s="4">
        <f>-PPMT('With Loan'!$D$41/12,'30% Down Amortization'!$A208,360,'With Loan'!$D$40,0,0)</f>
        <v>747.16873661262787</v>
      </c>
      <c r="C208" s="4">
        <f>-IPMT('With Loan'!$D$41/12,'30% Down Amortization'!$A208,360,'With Loan'!$D$40,0,0)</f>
        <v>468.47727317279754</v>
      </c>
      <c r="D208" s="4">
        <f t="shared" si="7"/>
        <v>1215.6460097854253</v>
      </c>
      <c r="E208" s="3">
        <f t="shared" si="6"/>
        <v>149165.55867868263</v>
      </c>
    </row>
    <row r="209" spans="1:5" x14ac:dyDescent="0.25">
      <c r="A209">
        <v>206</v>
      </c>
      <c r="B209" s="4">
        <f>-PPMT('With Loan'!$D$41/12,'30% Down Amortization'!$A209,360,'With Loan'!$D$40,0,0)</f>
        <v>749.50363891454242</v>
      </c>
      <c r="C209" s="4">
        <f>-IPMT('With Loan'!$D$41/12,'30% Down Amortization'!$A209,360,'With Loan'!$D$40,0,0)</f>
        <v>466.14237087088321</v>
      </c>
      <c r="D209" s="4">
        <f t="shared" si="7"/>
        <v>1215.6460097854256</v>
      </c>
      <c r="E209" s="3">
        <f t="shared" si="6"/>
        <v>148416.05503976808</v>
      </c>
    </row>
    <row r="210" spans="1:5" x14ac:dyDescent="0.25">
      <c r="A210">
        <v>207</v>
      </c>
      <c r="B210" s="4">
        <f>-PPMT('With Loan'!$D$41/12,'30% Down Amortization'!$A210,360,'With Loan'!$D$40,0,0)</f>
        <v>751.84583778615024</v>
      </c>
      <c r="C210" s="4">
        <f>-IPMT('With Loan'!$D$41/12,'30% Down Amortization'!$A210,360,'With Loan'!$D$40,0,0)</f>
        <v>463.80017199927522</v>
      </c>
      <c r="D210" s="4">
        <f t="shared" si="7"/>
        <v>1215.6460097854256</v>
      </c>
      <c r="E210" s="3">
        <f t="shared" si="6"/>
        <v>147664.20920198192</v>
      </c>
    </row>
    <row r="211" spans="1:5" x14ac:dyDescent="0.25">
      <c r="A211">
        <v>208</v>
      </c>
      <c r="B211" s="4">
        <f>-PPMT('With Loan'!$D$41/12,'30% Down Amortization'!$A211,360,'With Loan'!$D$40,0,0)</f>
        <v>754.19535602923202</v>
      </c>
      <c r="C211" s="4">
        <f>-IPMT('With Loan'!$D$41/12,'30% Down Amortization'!$A211,360,'With Loan'!$D$40,0,0)</f>
        <v>461.45065375619356</v>
      </c>
      <c r="D211" s="4">
        <f t="shared" si="7"/>
        <v>1215.6460097854256</v>
      </c>
      <c r="E211" s="3">
        <f t="shared" si="6"/>
        <v>146910.01384595269</v>
      </c>
    </row>
    <row r="212" spans="1:5" x14ac:dyDescent="0.25">
      <c r="A212">
        <v>209</v>
      </c>
      <c r="B212" s="4">
        <f>-PPMT('With Loan'!$D$41/12,'30% Down Amortization'!$A212,360,'With Loan'!$D$40,0,0)</f>
        <v>756.55221651682336</v>
      </c>
      <c r="C212" s="4">
        <f>-IPMT('With Loan'!$D$41/12,'30% Down Amortization'!$A212,360,'With Loan'!$D$40,0,0)</f>
        <v>459.09379326860216</v>
      </c>
      <c r="D212" s="4">
        <f t="shared" si="7"/>
        <v>1215.6460097854256</v>
      </c>
      <c r="E212" s="3">
        <f t="shared" si="6"/>
        <v>146153.46162943586</v>
      </c>
    </row>
    <row r="213" spans="1:5" x14ac:dyDescent="0.25">
      <c r="A213">
        <v>210</v>
      </c>
      <c r="B213" s="4">
        <f>-PPMT('With Loan'!$D$41/12,'30% Down Amortization'!$A213,360,'With Loan'!$D$40,0,0)</f>
        <v>758.91644219343823</v>
      </c>
      <c r="C213" s="4">
        <f>-IPMT('With Loan'!$D$41/12,'30% Down Amortization'!$A213,360,'With Loan'!$D$40,0,0)</f>
        <v>456.72956759198695</v>
      </c>
      <c r="D213" s="4">
        <f t="shared" si="7"/>
        <v>1215.6460097854251</v>
      </c>
      <c r="E213" s="3">
        <f t="shared" si="6"/>
        <v>145394.54518724242</v>
      </c>
    </row>
    <row r="214" spans="1:5" x14ac:dyDescent="0.25">
      <c r="A214">
        <v>211</v>
      </c>
      <c r="B214" s="4">
        <f>-PPMT('With Loan'!$D$41/12,'30% Down Amortization'!$A214,360,'With Loan'!$D$40,0,0)</f>
        <v>761.28805607529284</v>
      </c>
      <c r="C214" s="4">
        <f>-IPMT('With Loan'!$D$41/12,'30% Down Amortization'!$A214,360,'With Loan'!$D$40,0,0)</f>
        <v>454.35795371013251</v>
      </c>
      <c r="D214" s="4">
        <f t="shared" si="7"/>
        <v>1215.6460097854253</v>
      </c>
      <c r="E214" s="3">
        <f t="shared" si="6"/>
        <v>144633.25713116713</v>
      </c>
    </row>
    <row r="215" spans="1:5" x14ac:dyDescent="0.25">
      <c r="A215">
        <v>212</v>
      </c>
      <c r="B215" s="4">
        <f>-PPMT('With Loan'!$D$41/12,'30% Down Amortization'!$A215,360,'With Loan'!$D$40,0,0)</f>
        <v>763.66708125052821</v>
      </c>
      <c r="C215" s="4">
        <f>-IPMT('With Loan'!$D$41/12,'30% Down Amortization'!$A215,360,'With Loan'!$D$40,0,0)</f>
        <v>451.97892853489719</v>
      </c>
      <c r="D215" s="4">
        <f t="shared" si="7"/>
        <v>1215.6460097854253</v>
      </c>
      <c r="E215" s="3">
        <f t="shared" si="6"/>
        <v>143869.59004991662</v>
      </c>
    </row>
    <row r="216" spans="1:5" x14ac:dyDescent="0.25">
      <c r="A216">
        <v>213</v>
      </c>
      <c r="B216" s="4">
        <f>-PPMT('With Loan'!$D$41/12,'30% Down Amortization'!$A216,360,'With Loan'!$D$40,0,0)</f>
        <v>766.05354087943613</v>
      </c>
      <c r="C216" s="4">
        <f>-IPMT('With Loan'!$D$41/12,'30% Down Amortization'!$A216,360,'With Loan'!$D$40,0,0)</f>
        <v>449.59246890598939</v>
      </c>
      <c r="D216" s="4">
        <f t="shared" si="7"/>
        <v>1215.6460097854256</v>
      </c>
      <c r="E216" s="3">
        <f t="shared" si="6"/>
        <v>143103.53650903719</v>
      </c>
    </row>
    <row r="217" spans="1:5" x14ac:dyDescent="0.25">
      <c r="A217">
        <v>214</v>
      </c>
      <c r="B217" s="4">
        <f>-PPMT('With Loan'!$D$41/12,'30% Down Amortization'!$A217,360,'With Loan'!$D$40,0,0)</f>
        <v>768.44745819468415</v>
      </c>
      <c r="C217" s="4">
        <f>-IPMT('With Loan'!$D$41/12,'30% Down Amortization'!$A217,360,'With Loan'!$D$40,0,0)</f>
        <v>447.1985515907412</v>
      </c>
      <c r="D217" s="4">
        <f t="shared" si="7"/>
        <v>1215.6460097854253</v>
      </c>
      <c r="E217" s="3">
        <f t="shared" si="6"/>
        <v>142335.08905084251</v>
      </c>
    </row>
    <row r="218" spans="1:5" x14ac:dyDescent="0.25">
      <c r="A218">
        <v>215</v>
      </c>
      <c r="B218" s="4">
        <f>-PPMT('With Loan'!$D$41/12,'30% Down Amortization'!$A218,360,'With Loan'!$D$40,0,0)</f>
        <v>770.84885650154274</v>
      </c>
      <c r="C218" s="4">
        <f>-IPMT('With Loan'!$D$41/12,'30% Down Amortization'!$A218,360,'With Loan'!$D$40,0,0)</f>
        <v>444.79715328388261</v>
      </c>
      <c r="D218" s="4">
        <f t="shared" si="7"/>
        <v>1215.6460097854253</v>
      </c>
      <c r="E218" s="3">
        <f t="shared" si="6"/>
        <v>141564.24019434096</v>
      </c>
    </row>
    <row r="219" spans="1:5" x14ac:dyDescent="0.25">
      <c r="A219">
        <v>216</v>
      </c>
      <c r="B219" s="4">
        <f>-PPMT('With Loan'!$D$41/12,'30% Down Amortization'!$A219,360,'With Loan'!$D$40,0,0)</f>
        <v>773.25775917810995</v>
      </c>
      <c r="C219" s="4">
        <f>-IPMT('With Loan'!$D$41/12,'30% Down Amortization'!$A219,360,'With Loan'!$D$40,0,0)</f>
        <v>442.3882506073154</v>
      </c>
      <c r="D219" s="4">
        <f t="shared" si="7"/>
        <v>1215.6460097854253</v>
      </c>
      <c r="E219" s="3">
        <f t="shared" si="6"/>
        <v>140790.98243516285</v>
      </c>
    </row>
    <row r="220" spans="1:5" x14ac:dyDescent="0.25">
      <c r="A220">
        <v>217</v>
      </c>
      <c r="B220" s="4">
        <f>-PPMT('With Loan'!$D$41/12,'30% Down Amortization'!$A220,360,'With Loan'!$D$40,0,0)</f>
        <v>775.67418967554158</v>
      </c>
      <c r="C220" s="4">
        <f>-IPMT('With Loan'!$D$41/12,'30% Down Amortization'!$A220,360,'With Loan'!$D$40,0,0)</f>
        <v>439.97182010988388</v>
      </c>
      <c r="D220" s="4">
        <f t="shared" si="7"/>
        <v>1215.6460097854256</v>
      </c>
      <c r="E220" s="3">
        <f t="shared" si="6"/>
        <v>140015.30824548731</v>
      </c>
    </row>
    <row r="221" spans="1:5" x14ac:dyDescent="0.25">
      <c r="A221">
        <v>218</v>
      </c>
      <c r="B221" s="4">
        <f>-PPMT('With Loan'!$D$41/12,'30% Down Amortization'!$A221,360,'With Loan'!$D$40,0,0)</f>
        <v>778.0981715182777</v>
      </c>
      <c r="C221" s="4">
        <f>-IPMT('With Loan'!$D$41/12,'30% Down Amortization'!$A221,360,'With Loan'!$D$40,0,0)</f>
        <v>437.54783826714771</v>
      </c>
      <c r="D221" s="4">
        <f t="shared" si="7"/>
        <v>1215.6460097854253</v>
      </c>
      <c r="E221" s="3">
        <f t="shared" si="6"/>
        <v>139237.21007396904</v>
      </c>
    </row>
    <row r="222" spans="1:5" x14ac:dyDescent="0.25">
      <c r="A222">
        <v>219</v>
      </c>
      <c r="B222" s="4">
        <f>-PPMT('With Loan'!$D$41/12,'30% Down Amortization'!$A222,360,'With Loan'!$D$40,0,0)</f>
        <v>780.52972830427223</v>
      </c>
      <c r="C222" s="4">
        <f>-IPMT('With Loan'!$D$41/12,'30% Down Amortization'!$A222,360,'With Loan'!$D$40,0,0)</f>
        <v>435.11628148115312</v>
      </c>
      <c r="D222" s="4">
        <f t="shared" si="7"/>
        <v>1215.6460097854253</v>
      </c>
      <c r="E222" s="3">
        <f t="shared" si="6"/>
        <v>138456.68034566476</v>
      </c>
    </row>
    <row r="223" spans="1:5" x14ac:dyDescent="0.25">
      <c r="A223">
        <v>220</v>
      </c>
      <c r="B223" s="4">
        <f>-PPMT('With Loan'!$D$41/12,'30% Down Amortization'!$A223,360,'With Loan'!$D$40,0,0)</f>
        <v>782.96888370522311</v>
      </c>
      <c r="C223" s="4">
        <f>-IPMT('With Loan'!$D$41/12,'30% Down Amortization'!$A223,360,'With Loan'!$D$40,0,0)</f>
        <v>432.67712608020224</v>
      </c>
      <c r="D223" s="4">
        <f t="shared" si="7"/>
        <v>1215.6460097854253</v>
      </c>
      <c r="E223" s="3">
        <f t="shared" si="6"/>
        <v>137673.71146195955</v>
      </c>
    </row>
    <row r="224" spans="1:5" x14ac:dyDescent="0.25">
      <c r="A224">
        <v>221</v>
      </c>
      <c r="B224" s="4">
        <f>-PPMT('With Loan'!$D$41/12,'30% Down Amortization'!$A224,360,'With Loan'!$D$40,0,0)</f>
        <v>785.41566146680191</v>
      </c>
      <c r="C224" s="4">
        <f>-IPMT('With Loan'!$D$41/12,'30% Down Amortization'!$A224,360,'With Loan'!$D$40,0,0)</f>
        <v>430.23034831862338</v>
      </c>
      <c r="D224" s="4">
        <f t="shared" si="7"/>
        <v>1215.6460097854253</v>
      </c>
      <c r="E224" s="3">
        <f t="shared" si="6"/>
        <v>136888.29580049275</v>
      </c>
    </row>
    <row r="225" spans="1:5" x14ac:dyDescent="0.25">
      <c r="A225">
        <v>222</v>
      </c>
      <c r="B225" s="4">
        <f>-PPMT('With Loan'!$D$41/12,'30% Down Amortization'!$A225,360,'With Loan'!$D$40,0,0)</f>
        <v>787.87008540888576</v>
      </c>
      <c r="C225" s="4">
        <f>-IPMT('With Loan'!$D$41/12,'30% Down Amortization'!$A225,360,'With Loan'!$D$40,0,0)</f>
        <v>427.77592437653965</v>
      </c>
      <c r="D225" s="4">
        <f t="shared" si="7"/>
        <v>1215.6460097854253</v>
      </c>
      <c r="E225" s="3">
        <f t="shared" si="6"/>
        <v>136100.42571508387</v>
      </c>
    </row>
    <row r="226" spans="1:5" x14ac:dyDescent="0.25">
      <c r="A226">
        <v>223</v>
      </c>
      <c r="B226" s="4">
        <f>-PPMT('With Loan'!$D$41/12,'30% Down Amortization'!$A226,360,'With Loan'!$D$40,0,0)</f>
        <v>790.33217942578847</v>
      </c>
      <c r="C226" s="4">
        <f>-IPMT('With Loan'!$D$41/12,'30% Down Amortization'!$A226,360,'With Loan'!$D$40,0,0)</f>
        <v>425.31383035963688</v>
      </c>
      <c r="D226" s="4">
        <f t="shared" si="7"/>
        <v>1215.6460097854253</v>
      </c>
      <c r="E226" s="3">
        <f t="shared" ref="E226:E289" si="8">E225-B226</f>
        <v>135310.09353565809</v>
      </c>
    </row>
    <row r="227" spans="1:5" x14ac:dyDescent="0.25">
      <c r="A227">
        <v>224</v>
      </c>
      <c r="B227" s="4">
        <f>-PPMT('With Loan'!$D$41/12,'30% Down Amortization'!$A227,360,'With Loan'!$D$40,0,0)</f>
        <v>792.80196748649405</v>
      </c>
      <c r="C227" s="4">
        <f>-IPMT('With Loan'!$D$41/12,'30% Down Amortization'!$A227,360,'With Loan'!$D$40,0,0)</f>
        <v>422.8440422989313</v>
      </c>
      <c r="D227" s="4">
        <f t="shared" si="7"/>
        <v>1215.6460097854253</v>
      </c>
      <c r="E227" s="3">
        <f t="shared" si="8"/>
        <v>134517.29156817158</v>
      </c>
    </row>
    <row r="228" spans="1:5" x14ac:dyDescent="0.25">
      <c r="A228">
        <v>225</v>
      </c>
      <c r="B228" s="4">
        <f>-PPMT('With Loan'!$D$41/12,'30% Down Amortization'!$A228,360,'With Loan'!$D$40,0,0)</f>
        <v>795.27947363488931</v>
      </c>
      <c r="C228" s="4">
        <f>-IPMT('With Loan'!$D$41/12,'30% Down Amortization'!$A228,360,'With Loan'!$D$40,0,0)</f>
        <v>420.36653615053609</v>
      </c>
      <c r="D228" s="4">
        <f t="shared" si="7"/>
        <v>1215.6460097854253</v>
      </c>
      <c r="E228" s="3">
        <f t="shared" si="8"/>
        <v>133722.01209453668</v>
      </c>
    </row>
    <row r="229" spans="1:5" x14ac:dyDescent="0.25">
      <c r="A229">
        <v>226</v>
      </c>
      <c r="B229" s="4">
        <f>-PPMT('With Loan'!$D$41/12,'30% Down Amortization'!$A229,360,'With Loan'!$D$40,0,0)</f>
        <v>797.76472198999829</v>
      </c>
      <c r="C229" s="4">
        <f>-IPMT('With Loan'!$D$41/12,'30% Down Amortization'!$A229,360,'With Loan'!$D$40,0,0)</f>
        <v>417.881287795427</v>
      </c>
      <c r="D229" s="4">
        <f t="shared" si="7"/>
        <v>1215.6460097854253</v>
      </c>
      <c r="E229" s="3">
        <f t="shared" si="8"/>
        <v>132924.24737254667</v>
      </c>
    </row>
    <row r="230" spans="1:5" x14ac:dyDescent="0.25">
      <c r="A230">
        <v>227</v>
      </c>
      <c r="B230" s="4">
        <f>-PPMT('With Loan'!$D$41/12,'30% Down Amortization'!$A230,360,'With Loan'!$D$40,0,0)</f>
        <v>800.25773674621712</v>
      </c>
      <c r="C230" s="4">
        <f>-IPMT('With Loan'!$D$41/12,'30% Down Amortization'!$A230,360,'With Loan'!$D$40,0,0)</f>
        <v>415.38827303920823</v>
      </c>
      <c r="D230" s="4">
        <f t="shared" si="7"/>
        <v>1215.6460097854253</v>
      </c>
      <c r="E230" s="3">
        <f t="shared" si="8"/>
        <v>132123.98963580045</v>
      </c>
    </row>
    <row r="231" spans="1:5" x14ac:dyDescent="0.25">
      <c r="A231">
        <v>228</v>
      </c>
      <c r="B231" s="4">
        <f>-PPMT('With Loan'!$D$41/12,'30% Down Amortization'!$A231,360,'With Loan'!$D$40,0,0)</f>
        <v>802.75854217354902</v>
      </c>
      <c r="C231" s="4">
        <f>-IPMT('With Loan'!$D$41/12,'30% Down Amortization'!$A231,360,'With Loan'!$D$40,0,0)</f>
        <v>412.88746761187639</v>
      </c>
      <c r="D231" s="4">
        <f t="shared" si="7"/>
        <v>1215.6460097854253</v>
      </c>
      <c r="E231" s="3">
        <f t="shared" si="8"/>
        <v>131321.23109362691</v>
      </c>
    </row>
    <row r="232" spans="1:5" x14ac:dyDescent="0.25">
      <c r="A232">
        <v>229</v>
      </c>
      <c r="B232" s="4">
        <f>-PPMT('With Loan'!$D$41/12,'30% Down Amortization'!$A232,360,'With Loan'!$D$40,0,0)</f>
        <v>805.26716261784134</v>
      </c>
      <c r="C232" s="4">
        <f>-IPMT('With Loan'!$D$41/12,'30% Down Amortization'!$A232,360,'With Loan'!$D$40,0,0)</f>
        <v>410.37884716758396</v>
      </c>
      <c r="D232" s="4">
        <f t="shared" si="7"/>
        <v>1215.6460097854253</v>
      </c>
      <c r="E232" s="3">
        <f t="shared" si="8"/>
        <v>130515.96393100907</v>
      </c>
    </row>
    <row r="233" spans="1:5" x14ac:dyDescent="0.25">
      <c r="A233">
        <v>230</v>
      </c>
      <c r="B233" s="4">
        <f>-PPMT('With Loan'!$D$41/12,'30% Down Amortization'!$A233,360,'With Loan'!$D$40,0,0)</f>
        <v>807.78362250102225</v>
      </c>
      <c r="C233" s="4">
        <f>-IPMT('With Loan'!$D$41/12,'30% Down Amortization'!$A233,360,'With Loan'!$D$40,0,0)</f>
        <v>407.86238728440327</v>
      </c>
      <c r="D233" s="4">
        <f t="shared" si="7"/>
        <v>1215.6460097854256</v>
      </c>
      <c r="E233" s="3">
        <f t="shared" si="8"/>
        <v>129708.18030850805</v>
      </c>
    </row>
    <row r="234" spans="1:5" x14ac:dyDescent="0.25">
      <c r="A234">
        <v>231</v>
      </c>
      <c r="B234" s="4">
        <f>-PPMT('With Loan'!$D$41/12,'30% Down Amortization'!$A234,360,'With Loan'!$D$40,0,0)</f>
        <v>810.30794632133791</v>
      </c>
      <c r="C234" s="4">
        <f>-IPMT('With Loan'!$D$41/12,'30% Down Amortization'!$A234,360,'With Loan'!$D$40,0,0)</f>
        <v>405.33806346408761</v>
      </c>
      <c r="D234" s="4">
        <f t="shared" si="7"/>
        <v>1215.6460097854256</v>
      </c>
      <c r="E234" s="3">
        <f t="shared" si="8"/>
        <v>128897.87236218671</v>
      </c>
    </row>
    <row r="235" spans="1:5" x14ac:dyDescent="0.25">
      <c r="A235">
        <v>232</v>
      </c>
      <c r="B235" s="4">
        <f>-PPMT('With Loan'!$D$41/12,'30% Down Amortization'!$A235,360,'With Loan'!$D$40,0,0)</f>
        <v>812.84015865359208</v>
      </c>
      <c r="C235" s="4">
        <f>-IPMT('With Loan'!$D$41/12,'30% Down Amortization'!$A235,360,'With Loan'!$D$40,0,0)</f>
        <v>402.80585113183332</v>
      </c>
      <c r="D235" s="4">
        <f t="shared" si="7"/>
        <v>1215.6460097854253</v>
      </c>
      <c r="E235" s="3">
        <f t="shared" si="8"/>
        <v>128085.03220353312</v>
      </c>
    </row>
    <row r="236" spans="1:5" x14ac:dyDescent="0.25">
      <c r="A236">
        <v>233</v>
      </c>
      <c r="B236" s="4">
        <f>-PPMT('With Loan'!$D$41/12,'30% Down Amortization'!$A236,360,'With Loan'!$D$40,0,0)</f>
        <v>815.38028414938447</v>
      </c>
      <c r="C236" s="4">
        <f>-IPMT('With Loan'!$D$41/12,'30% Down Amortization'!$A236,360,'With Loan'!$D$40,0,0)</f>
        <v>400.26572563604088</v>
      </c>
      <c r="D236" s="4">
        <f t="shared" si="7"/>
        <v>1215.6460097854253</v>
      </c>
      <c r="E236" s="3">
        <f t="shared" si="8"/>
        <v>127269.65191938373</v>
      </c>
    </row>
    <row r="237" spans="1:5" x14ac:dyDescent="0.25">
      <c r="A237">
        <v>234</v>
      </c>
      <c r="B237" s="4">
        <f>-PPMT('With Loan'!$D$41/12,'30% Down Amortization'!$A237,360,'With Loan'!$D$40,0,0)</f>
        <v>817.92834753735133</v>
      </c>
      <c r="C237" s="4">
        <f>-IPMT('With Loan'!$D$41/12,'30% Down Amortization'!$A237,360,'With Loan'!$D$40,0,0)</f>
        <v>397.71766224807413</v>
      </c>
      <c r="D237" s="4">
        <f t="shared" si="7"/>
        <v>1215.6460097854256</v>
      </c>
      <c r="E237" s="3">
        <f t="shared" si="8"/>
        <v>126451.72357184638</v>
      </c>
    </row>
    <row r="238" spans="1:5" x14ac:dyDescent="0.25">
      <c r="A238">
        <v>235</v>
      </c>
      <c r="B238" s="4">
        <f>-PPMT('With Loan'!$D$41/12,'30% Down Amortization'!$A238,360,'With Loan'!$D$40,0,0)</f>
        <v>820.48437362340553</v>
      </c>
      <c r="C238" s="4">
        <f>-IPMT('With Loan'!$D$41/12,'30% Down Amortization'!$A238,360,'With Loan'!$D$40,0,0)</f>
        <v>395.16163616201976</v>
      </c>
      <c r="D238" s="4">
        <f t="shared" si="7"/>
        <v>1215.6460097854253</v>
      </c>
      <c r="E238" s="3">
        <f t="shared" si="8"/>
        <v>125631.23919822297</v>
      </c>
    </row>
    <row r="239" spans="1:5" x14ac:dyDescent="0.25">
      <c r="A239">
        <v>236</v>
      </c>
      <c r="B239" s="4">
        <f>-PPMT('With Loan'!$D$41/12,'30% Down Amortization'!$A239,360,'With Loan'!$D$40,0,0)</f>
        <v>823.04838729097878</v>
      </c>
      <c r="C239" s="4">
        <f>-IPMT('With Loan'!$D$41/12,'30% Down Amortization'!$A239,360,'With Loan'!$D$40,0,0)</f>
        <v>392.59762249444674</v>
      </c>
      <c r="D239" s="4">
        <f t="shared" si="7"/>
        <v>1215.6460097854256</v>
      </c>
      <c r="E239" s="3">
        <f t="shared" si="8"/>
        <v>124808.19081093199</v>
      </c>
    </row>
    <row r="240" spans="1:5" x14ac:dyDescent="0.25">
      <c r="A240">
        <v>237</v>
      </c>
      <c r="B240" s="4">
        <f>-PPMT('With Loan'!$D$41/12,'30% Down Amortization'!$A240,360,'With Loan'!$D$40,0,0)</f>
        <v>825.62041350126299</v>
      </c>
      <c r="C240" s="4">
        <f>-IPMT('With Loan'!$D$41/12,'30% Down Amortization'!$A240,360,'With Loan'!$D$40,0,0)</f>
        <v>390.02559628416242</v>
      </c>
      <c r="D240" s="4">
        <f t="shared" si="7"/>
        <v>1215.6460097854253</v>
      </c>
      <c r="E240" s="3">
        <f t="shared" si="8"/>
        <v>123982.57039743073</v>
      </c>
    </row>
    <row r="241" spans="1:5" x14ac:dyDescent="0.25">
      <c r="A241">
        <v>238</v>
      </c>
      <c r="B241" s="4">
        <f>-PPMT('With Loan'!$D$41/12,'30% Down Amortization'!$A241,360,'With Loan'!$D$40,0,0)</f>
        <v>828.20047729345458</v>
      </c>
      <c r="C241" s="4">
        <f>-IPMT('With Loan'!$D$41/12,'30% Down Amortization'!$A241,360,'With Loan'!$D$40,0,0)</f>
        <v>387.44553249197088</v>
      </c>
      <c r="D241" s="4">
        <f t="shared" si="7"/>
        <v>1215.6460097854256</v>
      </c>
      <c r="E241" s="3">
        <f t="shared" si="8"/>
        <v>123154.36992013727</v>
      </c>
    </row>
    <row r="242" spans="1:5" x14ac:dyDescent="0.25">
      <c r="A242">
        <v>239</v>
      </c>
      <c r="B242" s="4">
        <f>-PPMT('With Loan'!$D$41/12,'30% Down Amortization'!$A242,360,'With Loan'!$D$40,0,0)</f>
        <v>830.78860378499644</v>
      </c>
      <c r="C242" s="4">
        <f>-IPMT('With Loan'!$D$41/12,'30% Down Amortization'!$A242,360,'With Loan'!$D$40,0,0)</f>
        <v>384.85740600042885</v>
      </c>
      <c r="D242" s="4">
        <f t="shared" si="7"/>
        <v>1215.6460097854253</v>
      </c>
      <c r="E242" s="3">
        <f t="shared" si="8"/>
        <v>122323.58131635227</v>
      </c>
    </row>
    <row r="243" spans="1:5" x14ac:dyDescent="0.25">
      <c r="A243">
        <v>240</v>
      </c>
      <c r="B243" s="4">
        <f>-PPMT('With Loan'!$D$41/12,'30% Down Amortization'!$A243,360,'With Loan'!$D$40,0,0)</f>
        <v>833.38481817182469</v>
      </c>
      <c r="C243" s="4">
        <f>-IPMT('With Loan'!$D$41/12,'30% Down Amortization'!$A243,360,'With Loan'!$D$40,0,0)</f>
        <v>382.26119161360077</v>
      </c>
      <c r="D243" s="4">
        <f t="shared" si="7"/>
        <v>1215.6460097854256</v>
      </c>
      <c r="E243" s="3">
        <f t="shared" si="8"/>
        <v>121490.19649818045</v>
      </c>
    </row>
    <row r="244" spans="1:5" x14ac:dyDescent="0.25">
      <c r="A244">
        <v>241</v>
      </c>
      <c r="B244" s="4">
        <f>-PPMT('With Loan'!$D$41/12,'30% Down Amortization'!$A244,360,'With Loan'!$D$40,0,0)</f>
        <v>835.98914572861156</v>
      </c>
      <c r="C244" s="4">
        <f>-IPMT('With Loan'!$D$41/12,'30% Down Amortization'!$A244,360,'With Loan'!$D$40,0,0)</f>
        <v>379.65686405681384</v>
      </c>
      <c r="D244" s="4">
        <f t="shared" si="7"/>
        <v>1215.6460097854253</v>
      </c>
      <c r="E244" s="3">
        <f t="shared" si="8"/>
        <v>120654.20735245183</v>
      </c>
    </row>
    <row r="245" spans="1:5" x14ac:dyDescent="0.25">
      <c r="A245">
        <v>242</v>
      </c>
      <c r="B245" s="4">
        <f>-PPMT('With Loan'!$D$41/12,'30% Down Amortization'!$A245,360,'With Loan'!$D$40,0,0)</f>
        <v>838.60161180901355</v>
      </c>
      <c r="C245" s="4">
        <f>-IPMT('With Loan'!$D$41/12,'30% Down Amortization'!$A245,360,'With Loan'!$D$40,0,0)</f>
        <v>377.04439797641186</v>
      </c>
      <c r="D245" s="4">
        <f t="shared" si="7"/>
        <v>1215.6460097854253</v>
      </c>
      <c r="E245" s="3">
        <f t="shared" si="8"/>
        <v>119815.60574064282</v>
      </c>
    </row>
    <row r="246" spans="1:5" x14ac:dyDescent="0.25">
      <c r="A246">
        <v>243</v>
      </c>
      <c r="B246" s="4">
        <f>-PPMT('With Loan'!$D$41/12,'30% Down Amortization'!$A246,360,'With Loan'!$D$40,0,0)</f>
        <v>841.22224184591664</v>
      </c>
      <c r="C246" s="4">
        <f>-IPMT('With Loan'!$D$41/12,'30% Down Amortization'!$A246,360,'With Loan'!$D$40,0,0)</f>
        <v>374.42376793950876</v>
      </c>
      <c r="D246" s="4">
        <f t="shared" si="7"/>
        <v>1215.6460097854253</v>
      </c>
      <c r="E246" s="3">
        <f t="shared" si="8"/>
        <v>118974.3834987969</v>
      </c>
    </row>
    <row r="247" spans="1:5" x14ac:dyDescent="0.25">
      <c r="A247">
        <v>244</v>
      </c>
      <c r="B247" s="4">
        <f>-PPMT('With Loan'!$D$41/12,'30% Down Amortization'!$A247,360,'With Loan'!$D$40,0,0)</f>
        <v>843.85106135168508</v>
      </c>
      <c r="C247" s="4">
        <f>-IPMT('With Loan'!$D$41/12,'30% Down Amortization'!$A247,360,'With Loan'!$D$40,0,0)</f>
        <v>371.79494843374022</v>
      </c>
      <c r="D247" s="4">
        <f t="shared" si="7"/>
        <v>1215.6460097854253</v>
      </c>
      <c r="E247" s="3">
        <f t="shared" si="8"/>
        <v>118130.53243744522</v>
      </c>
    </row>
    <row r="248" spans="1:5" x14ac:dyDescent="0.25">
      <c r="A248">
        <v>245</v>
      </c>
      <c r="B248" s="4">
        <f>-PPMT('With Loan'!$D$41/12,'30% Down Amortization'!$A248,360,'With Loan'!$D$40,0,0)</f>
        <v>846.48809591840904</v>
      </c>
      <c r="C248" s="4">
        <f>-IPMT('With Loan'!$D$41/12,'30% Down Amortization'!$A248,360,'With Loan'!$D$40,0,0)</f>
        <v>369.15791386701625</v>
      </c>
      <c r="D248" s="4">
        <f t="shared" si="7"/>
        <v>1215.6460097854253</v>
      </c>
      <c r="E248" s="3">
        <f t="shared" si="8"/>
        <v>117284.04434152681</v>
      </c>
    </row>
    <row r="249" spans="1:5" x14ac:dyDescent="0.25">
      <c r="A249">
        <v>246</v>
      </c>
      <c r="B249" s="4">
        <f>-PPMT('With Loan'!$D$41/12,'30% Down Amortization'!$A249,360,'With Loan'!$D$40,0,0)</f>
        <v>849.13337121815414</v>
      </c>
      <c r="C249" s="4">
        <f>-IPMT('With Loan'!$D$41/12,'30% Down Amortization'!$A249,360,'With Loan'!$D$40,0,0)</f>
        <v>366.51263856727121</v>
      </c>
      <c r="D249" s="4">
        <f t="shared" si="7"/>
        <v>1215.6460097854253</v>
      </c>
      <c r="E249" s="3">
        <f t="shared" si="8"/>
        <v>116434.91097030866</v>
      </c>
    </row>
    <row r="250" spans="1:5" x14ac:dyDescent="0.25">
      <c r="A250">
        <v>247</v>
      </c>
      <c r="B250" s="4">
        <f>-PPMT('With Loan'!$D$41/12,'30% Down Amortization'!$A250,360,'With Loan'!$D$40,0,0)</f>
        <v>851.78691300321088</v>
      </c>
      <c r="C250" s="4">
        <f>-IPMT('With Loan'!$D$41/12,'30% Down Amortization'!$A250,360,'With Loan'!$D$40,0,0)</f>
        <v>363.85909678221441</v>
      </c>
      <c r="D250" s="4">
        <f t="shared" si="7"/>
        <v>1215.6460097854253</v>
      </c>
      <c r="E250" s="3">
        <f t="shared" si="8"/>
        <v>115583.12405730545</v>
      </c>
    </row>
    <row r="251" spans="1:5" x14ac:dyDescent="0.25">
      <c r="A251">
        <v>248</v>
      </c>
      <c r="B251" s="4">
        <f>-PPMT('With Loan'!$D$41/12,'30% Down Amortization'!$A251,360,'With Loan'!$D$40,0,0)</f>
        <v>854.4487471063461</v>
      </c>
      <c r="C251" s="4">
        <f>-IPMT('With Loan'!$D$41/12,'30% Down Amortization'!$A251,360,'With Loan'!$D$40,0,0)</f>
        <v>361.19726267907942</v>
      </c>
      <c r="D251" s="4">
        <f t="shared" si="7"/>
        <v>1215.6460097854256</v>
      </c>
      <c r="E251" s="3">
        <f t="shared" si="8"/>
        <v>114728.67531019911</v>
      </c>
    </row>
    <row r="252" spans="1:5" x14ac:dyDescent="0.25">
      <c r="A252">
        <v>249</v>
      </c>
      <c r="B252" s="4">
        <f>-PPMT('With Loan'!$D$41/12,'30% Down Amortization'!$A252,360,'With Loan'!$D$40,0,0)</f>
        <v>857.11889944105326</v>
      </c>
      <c r="C252" s="4">
        <f>-IPMT('With Loan'!$D$41/12,'30% Down Amortization'!$A252,360,'With Loan'!$D$40,0,0)</f>
        <v>358.52711034437209</v>
      </c>
      <c r="D252" s="4">
        <f t="shared" si="7"/>
        <v>1215.6460097854253</v>
      </c>
      <c r="E252" s="3">
        <f t="shared" si="8"/>
        <v>113871.55641075806</v>
      </c>
    </row>
    <row r="253" spans="1:5" x14ac:dyDescent="0.25">
      <c r="A253">
        <v>250</v>
      </c>
      <c r="B253" s="4">
        <f>-PPMT('With Loan'!$D$41/12,'30% Down Amortization'!$A253,360,'With Loan'!$D$40,0,0)</f>
        <v>859.79739600180665</v>
      </c>
      <c r="C253" s="4">
        <f>-IPMT('With Loan'!$D$41/12,'30% Down Amortization'!$A253,360,'With Loan'!$D$40,0,0)</f>
        <v>355.84861378361887</v>
      </c>
      <c r="D253" s="4">
        <f t="shared" si="7"/>
        <v>1215.6460097854256</v>
      </c>
      <c r="E253" s="3">
        <f t="shared" si="8"/>
        <v>113011.75901475624</v>
      </c>
    </row>
    <row r="254" spans="1:5" x14ac:dyDescent="0.25">
      <c r="A254">
        <v>251</v>
      </c>
      <c r="B254" s="4">
        <f>-PPMT('With Loan'!$D$41/12,'30% Down Amortization'!$A254,360,'With Loan'!$D$40,0,0)</f>
        <v>862.4842628643122</v>
      </c>
      <c r="C254" s="4">
        <f>-IPMT('With Loan'!$D$41/12,'30% Down Amortization'!$A254,360,'With Loan'!$D$40,0,0)</f>
        <v>353.16174692111315</v>
      </c>
      <c r="D254" s="4">
        <f t="shared" si="7"/>
        <v>1215.6460097854253</v>
      </c>
      <c r="E254" s="3">
        <f t="shared" si="8"/>
        <v>112149.27475189194</v>
      </c>
    </row>
    <row r="255" spans="1:5" x14ac:dyDescent="0.25">
      <c r="A255">
        <v>252</v>
      </c>
      <c r="B255" s="4">
        <f>-PPMT('With Loan'!$D$41/12,'30% Down Amortization'!$A255,360,'With Loan'!$D$40,0,0)</f>
        <v>865.17952618576317</v>
      </c>
      <c r="C255" s="4">
        <f>-IPMT('With Loan'!$D$41/12,'30% Down Amortization'!$A255,360,'With Loan'!$D$40,0,0)</f>
        <v>350.46648359966224</v>
      </c>
      <c r="D255" s="4">
        <f t="shared" si="7"/>
        <v>1215.6460097854253</v>
      </c>
      <c r="E255" s="3">
        <f t="shared" si="8"/>
        <v>111284.09522570617</v>
      </c>
    </row>
    <row r="256" spans="1:5" x14ac:dyDescent="0.25">
      <c r="A256">
        <v>253</v>
      </c>
      <c r="B256" s="4">
        <f>-PPMT('With Loan'!$D$41/12,'30% Down Amortization'!$A256,360,'With Loan'!$D$40,0,0)</f>
        <v>867.88321220509363</v>
      </c>
      <c r="C256" s="4">
        <f>-IPMT('With Loan'!$D$41/12,'30% Down Amortization'!$A256,360,'With Loan'!$D$40,0,0)</f>
        <v>347.76279758033166</v>
      </c>
      <c r="D256" s="4">
        <f t="shared" si="7"/>
        <v>1215.6460097854253</v>
      </c>
      <c r="E256" s="3">
        <f t="shared" si="8"/>
        <v>110416.21201350108</v>
      </c>
    </row>
    <row r="257" spans="1:5" x14ac:dyDescent="0.25">
      <c r="A257">
        <v>254</v>
      </c>
      <c r="B257" s="4">
        <f>-PPMT('With Loan'!$D$41/12,'30% Down Amortization'!$A257,360,'With Loan'!$D$40,0,0)</f>
        <v>870.59534724323453</v>
      </c>
      <c r="C257" s="4">
        <f>-IPMT('With Loan'!$D$41/12,'30% Down Amortization'!$A257,360,'With Loan'!$D$40,0,0)</f>
        <v>345.05066254219076</v>
      </c>
      <c r="D257" s="4">
        <f t="shared" si="7"/>
        <v>1215.6460097854253</v>
      </c>
      <c r="E257" s="3">
        <f t="shared" si="8"/>
        <v>109545.61666625785</v>
      </c>
    </row>
    <row r="258" spans="1:5" x14ac:dyDescent="0.25">
      <c r="A258">
        <v>255</v>
      </c>
      <c r="B258" s="4">
        <f>-PPMT('With Loan'!$D$41/12,'30% Down Amortization'!$A258,360,'With Loan'!$D$40,0,0)</f>
        <v>873.3159577033698</v>
      </c>
      <c r="C258" s="4">
        <f>-IPMT('With Loan'!$D$41/12,'30% Down Amortization'!$A258,360,'With Loan'!$D$40,0,0)</f>
        <v>342.33005208205566</v>
      </c>
      <c r="D258" s="4">
        <f t="shared" si="7"/>
        <v>1215.6460097854256</v>
      </c>
      <c r="E258" s="3">
        <f t="shared" si="8"/>
        <v>108672.30070855448</v>
      </c>
    </row>
    <row r="259" spans="1:5" x14ac:dyDescent="0.25">
      <c r="A259">
        <v>256</v>
      </c>
      <c r="B259" s="4">
        <f>-PPMT('With Loan'!$D$41/12,'30% Down Amortization'!$A259,360,'With Loan'!$D$40,0,0)</f>
        <v>876.04507007119275</v>
      </c>
      <c r="C259" s="4">
        <f>-IPMT('With Loan'!$D$41/12,'30% Down Amortization'!$A259,360,'With Loan'!$D$40,0,0)</f>
        <v>339.6009397142326</v>
      </c>
      <c r="D259" s="4">
        <f t="shared" si="7"/>
        <v>1215.6460097854253</v>
      </c>
      <c r="E259" s="3">
        <f t="shared" si="8"/>
        <v>107796.25563848329</v>
      </c>
    </row>
    <row r="260" spans="1:5" x14ac:dyDescent="0.25">
      <c r="A260">
        <v>257</v>
      </c>
      <c r="B260" s="4">
        <f>-PPMT('With Loan'!$D$41/12,'30% Down Amortization'!$A260,360,'With Loan'!$D$40,0,0)</f>
        <v>878.78271091516524</v>
      </c>
      <c r="C260" s="4">
        <f>-IPMT('With Loan'!$D$41/12,'30% Down Amortization'!$A260,360,'With Loan'!$D$40,0,0)</f>
        <v>336.86329887026017</v>
      </c>
      <c r="D260" s="4">
        <f t="shared" si="7"/>
        <v>1215.6460097854253</v>
      </c>
      <c r="E260" s="3">
        <f t="shared" si="8"/>
        <v>106917.47292756812</v>
      </c>
    </row>
    <row r="261" spans="1:5" x14ac:dyDescent="0.25">
      <c r="A261">
        <v>258</v>
      </c>
      <c r="B261" s="4">
        <f>-PPMT('With Loan'!$D$41/12,'30% Down Amortization'!$A261,360,'With Loan'!$D$40,0,0)</f>
        <v>881.52890688677519</v>
      </c>
      <c r="C261" s="4">
        <f>-IPMT('With Loan'!$D$41/12,'30% Down Amortization'!$A261,360,'With Loan'!$D$40,0,0)</f>
        <v>334.11710289865027</v>
      </c>
      <c r="D261" s="4">
        <f t="shared" ref="D261:D324" si="9">B261+C261</f>
        <v>1215.6460097854256</v>
      </c>
      <c r="E261" s="3">
        <f t="shared" si="8"/>
        <v>106035.94402068135</v>
      </c>
    </row>
    <row r="262" spans="1:5" x14ac:dyDescent="0.25">
      <c r="A262">
        <v>259</v>
      </c>
      <c r="B262" s="4">
        <f>-PPMT('With Loan'!$D$41/12,'30% Down Amortization'!$A262,360,'With Loan'!$D$40,0,0)</f>
        <v>884.28368472079626</v>
      </c>
      <c r="C262" s="4">
        <f>-IPMT('With Loan'!$D$41/12,'30% Down Amortization'!$A262,360,'With Loan'!$D$40,0,0)</f>
        <v>331.36232506462909</v>
      </c>
      <c r="D262" s="4">
        <f t="shared" si="9"/>
        <v>1215.6460097854253</v>
      </c>
      <c r="E262" s="3">
        <f t="shared" si="8"/>
        <v>105151.66033596055</v>
      </c>
    </row>
    <row r="263" spans="1:5" x14ac:dyDescent="0.25">
      <c r="A263">
        <v>260</v>
      </c>
      <c r="B263" s="4">
        <f>-PPMT('With Loan'!$D$41/12,'30% Down Amortization'!$A263,360,'With Loan'!$D$40,0,0)</f>
        <v>887.04707123554886</v>
      </c>
      <c r="C263" s="4">
        <f>-IPMT('With Loan'!$D$41/12,'30% Down Amortization'!$A263,360,'With Loan'!$D$40,0,0)</f>
        <v>328.59893854987661</v>
      </c>
      <c r="D263" s="4">
        <f t="shared" si="9"/>
        <v>1215.6460097854256</v>
      </c>
      <c r="E263" s="3">
        <f t="shared" si="8"/>
        <v>104264.61326472501</v>
      </c>
    </row>
    <row r="264" spans="1:5" x14ac:dyDescent="0.25">
      <c r="A264">
        <v>261</v>
      </c>
      <c r="B264" s="4">
        <f>-PPMT('With Loan'!$D$41/12,'30% Down Amortization'!$A264,360,'With Loan'!$D$40,0,0)</f>
        <v>889.81909333315991</v>
      </c>
      <c r="C264" s="4">
        <f>-IPMT('With Loan'!$D$41/12,'30% Down Amortization'!$A264,360,'With Loan'!$D$40,0,0)</f>
        <v>325.82691645226549</v>
      </c>
      <c r="D264" s="4">
        <f t="shared" si="9"/>
        <v>1215.6460097854253</v>
      </c>
      <c r="E264" s="3">
        <f t="shared" si="8"/>
        <v>103374.79417139184</v>
      </c>
    </row>
    <row r="265" spans="1:5" x14ac:dyDescent="0.25">
      <c r="A265">
        <v>262</v>
      </c>
      <c r="B265" s="4">
        <f>-PPMT('With Loan'!$D$41/12,'30% Down Amortization'!$A265,360,'With Loan'!$D$40,0,0)</f>
        <v>892.59977799982596</v>
      </c>
      <c r="C265" s="4">
        <f>-IPMT('With Loan'!$D$41/12,'30% Down Amortization'!$A265,360,'With Loan'!$D$40,0,0)</f>
        <v>323.04623178559933</v>
      </c>
      <c r="D265" s="4">
        <f t="shared" si="9"/>
        <v>1215.6460097854253</v>
      </c>
      <c r="E265" s="3">
        <f t="shared" si="8"/>
        <v>102482.19439339201</v>
      </c>
    </row>
    <row r="266" spans="1:5" x14ac:dyDescent="0.25">
      <c r="A266">
        <v>263</v>
      </c>
      <c r="B266" s="4">
        <f>-PPMT('With Loan'!$D$41/12,'30% Down Amortization'!$A266,360,'With Loan'!$D$40,0,0)</f>
        <v>895.3891523060754</v>
      </c>
      <c r="C266" s="4">
        <f>-IPMT('With Loan'!$D$41/12,'30% Down Amortization'!$A266,360,'With Loan'!$D$40,0,0)</f>
        <v>320.25685747934995</v>
      </c>
      <c r="D266" s="4">
        <f t="shared" si="9"/>
        <v>1215.6460097854253</v>
      </c>
      <c r="E266" s="3">
        <f t="shared" si="8"/>
        <v>101586.80524108594</v>
      </c>
    </row>
    <row r="267" spans="1:5" x14ac:dyDescent="0.25">
      <c r="A267">
        <v>264</v>
      </c>
      <c r="B267" s="4">
        <f>-PPMT('With Loan'!$D$41/12,'30% Down Amortization'!$A267,360,'With Loan'!$D$40,0,0)</f>
        <v>898.18724340703181</v>
      </c>
      <c r="C267" s="4">
        <f>-IPMT('With Loan'!$D$41/12,'30% Down Amortization'!$A267,360,'With Loan'!$D$40,0,0)</f>
        <v>317.45876637839342</v>
      </c>
      <c r="D267" s="4">
        <f t="shared" si="9"/>
        <v>1215.6460097854251</v>
      </c>
      <c r="E267" s="3">
        <f t="shared" si="8"/>
        <v>100688.61799767891</v>
      </c>
    </row>
    <row r="268" spans="1:5" x14ac:dyDescent="0.25">
      <c r="A268">
        <v>265</v>
      </c>
      <c r="B268" s="4">
        <f>-PPMT('With Loan'!$D$41/12,'30% Down Amortization'!$A268,360,'With Loan'!$D$40,0,0)</f>
        <v>900.99407854267895</v>
      </c>
      <c r="C268" s="4">
        <f>-IPMT('With Loan'!$D$41/12,'30% Down Amortization'!$A268,360,'With Loan'!$D$40,0,0)</f>
        <v>314.65193124274651</v>
      </c>
      <c r="D268" s="4">
        <f t="shared" si="9"/>
        <v>1215.6460097854256</v>
      </c>
      <c r="E268" s="3">
        <f t="shared" si="8"/>
        <v>99787.62391913624</v>
      </c>
    </row>
    <row r="269" spans="1:5" x14ac:dyDescent="0.25">
      <c r="A269">
        <v>266</v>
      </c>
      <c r="B269" s="4">
        <f>-PPMT('With Loan'!$D$41/12,'30% Down Amortization'!$A269,360,'With Loan'!$D$40,0,0)</f>
        <v>903.80968503812483</v>
      </c>
      <c r="C269" s="4">
        <f>-IPMT('With Loan'!$D$41/12,'30% Down Amortization'!$A269,360,'With Loan'!$D$40,0,0)</f>
        <v>311.83632474730064</v>
      </c>
      <c r="D269" s="4">
        <f t="shared" si="9"/>
        <v>1215.6460097854256</v>
      </c>
      <c r="E269" s="3">
        <f t="shared" si="8"/>
        <v>98883.814234098114</v>
      </c>
    </row>
    <row r="270" spans="1:5" x14ac:dyDescent="0.25">
      <c r="A270">
        <v>267</v>
      </c>
      <c r="B270" s="4">
        <f>-PPMT('With Loan'!$D$41/12,'30% Down Amortization'!$A270,360,'With Loan'!$D$40,0,0)</f>
        <v>906.6340903038689</v>
      </c>
      <c r="C270" s="4">
        <f>-IPMT('With Loan'!$D$41/12,'30% Down Amortization'!$A270,360,'With Loan'!$D$40,0,0)</f>
        <v>309.0119194815565</v>
      </c>
      <c r="D270" s="4">
        <f t="shared" si="9"/>
        <v>1215.6460097854253</v>
      </c>
      <c r="E270" s="3">
        <f t="shared" si="8"/>
        <v>97977.180143794249</v>
      </c>
    </row>
    <row r="271" spans="1:5" x14ac:dyDescent="0.25">
      <c r="A271">
        <v>268</v>
      </c>
      <c r="B271" s="4">
        <f>-PPMT('With Loan'!$D$41/12,'30% Down Amortization'!$A271,360,'With Loan'!$D$40,0,0)</f>
        <v>909.46732183606844</v>
      </c>
      <c r="C271" s="4">
        <f>-IPMT('With Loan'!$D$41/12,'30% Down Amortization'!$A271,360,'With Loan'!$D$40,0,0)</f>
        <v>306.17868794935686</v>
      </c>
      <c r="D271" s="4">
        <f t="shared" si="9"/>
        <v>1215.6460097854253</v>
      </c>
      <c r="E271" s="3">
        <f t="shared" si="8"/>
        <v>97067.712821958179</v>
      </c>
    </row>
    <row r="272" spans="1:5" x14ac:dyDescent="0.25">
      <c r="A272">
        <v>269</v>
      </c>
      <c r="B272" s="4">
        <f>-PPMT('With Loan'!$D$41/12,'30% Down Amortization'!$A272,360,'With Loan'!$D$40,0,0)</f>
        <v>912.30940721680611</v>
      </c>
      <c r="C272" s="4">
        <f>-IPMT('With Loan'!$D$41/12,'30% Down Amortization'!$A272,360,'With Loan'!$D$40,0,0)</f>
        <v>303.33660256861918</v>
      </c>
      <c r="D272" s="4">
        <f t="shared" si="9"/>
        <v>1215.6460097854253</v>
      </c>
      <c r="E272" s="3">
        <f t="shared" si="8"/>
        <v>96155.403414741377</v>
      </c>
    </row>
    <row r="273" spans="1:5" x14ac:dyDescent="0.25">
      <c r="A273">
        <v>270</v>
      </c>
      <c r="B273" s="4">
        <f>-PPMT('With Loan'!$D$41/12,'30% Down Amortization'!$A273,360,'With Loan'!$D$40,0,0)</f>
        <v>915.16037411435877</v>
      </c>
      <c r="C273" s="4">
        <f>-IPMT('With Loan'!$D$41/12,'30% Down Amortization'!$A273,360,'With Loan'!$D$40,0,0)</f>
        <v>300.48563567106663</v>
      </c>
      <c r="D273" s="4">
        <f t="shared" si="9"/>
        <v>1215.6460097854253</v>
      </c>
      <c r="E273" s="3">
        <f t="shared" si="8"/>
        <v>95240.243040627014</v>
      </c>
    </row>
    <row r="274" spans="1:5" x14ac:dyDescent="0.25">
      <c r="A274">
        <v>271</v>
      </c>
      <c r="B274" s="4">
        <f>-PPMT('With Loan'!$D$41/12,'30% Down Amortization'!$A274,360,'With Loan'!$D$40,0,0)</f>
        <v>918.02025028346611</v>
      </c>
      <c r="C274" s="4">
        <f>-IPMT('With Loan'!$D$41/12,'30% Down Amortization'!$A274,360,'With Loan'!$D$40,0,0)</f>
        <v>297.62575950195924</v>
      </c>
      <c r="D274" s="4">
        <f t="shared" si="9"/>
        <v>1215.6460097854253</v>
      </c>
      <c r="E274" s="3">
        <f t="shared" si="8"/>
        <v>94322.222790343541</v>
      </c>
    </row>
    <row r="275" spans="1:5" x14ac:dyDescent="0.25">
      <c r="A275">
        <v>272</v>
      </c>
      <c r="B275" s="4">
        <f>-PPMT('With Loan'!$D$41/12,'30% Down Amortization'!$A275,360,'With Loan'!$D$40,0,0)</f>
        <v>920.88906356560199</v>
      </c>
      <c r="C275" s="4">
        <f>-IPMT('With Loan'!$D$41/12,'30% Down Amortization'!$A275,360,'With Loan'!$D$40,0,0)</f>
        <v>294.75694621982342</v>
      </c>
      <c r="D275" s="4">
        <f t="shared" si="9"/>
        <v>1215.6460097854253</v>
      </c>
      <c r="E275" s="3">
        <f t="shared" si="8"/>
        <v>93401.333726777943</v>
      </c>
    </row>
    <row r="276" spans="1:5" x14ac:dyDescent="0.25">
      <c r="A276">
        <v>273</v>
      </c>
      <c r="B276" s="4">
        <f>-PPMT('With Loan'!$D$41/12,'30% Down Amortization'!$A276,360,'With Loan'!$D$40,0,0)</f>
        <v>923.76684188924435</v>
      </c>
      <c r="C276" s="4">
        <f>-IPMT('With Loan'!$D$41/12,'30% Down Amortization'!$A276,360,'With Loan'!$D$40,0,0)</f>
        <v>291.87916789618095</v>
      </c>
      <c r="D276" s="4">
        <f t="shared" si="9"/>
        <v>1215.6460097854253</v>
      </c>
      <c r="E276" s="3">
        <f t="shared" si="8"/>
        <v>92477.5668848887</v>
      </c>
    </row>
    <row r="277" spans="1:5" x14ac:dyDescent="0.25">
      <c r="A277">
        <v>274</v>
      </c>
      <c r="B277" s="4">
        <f>-PPMT('With Loan'!$D$41/12,'30% Down Amortization'!$A277,360,'With Loan'!$D$40,0,0)</f>
        <v>926.6536132701483</v>
      </c>
      <c r="C277" s="4">
        <f>-IPMT('With Loan'!$D$41/12,'30% Down Amortization'!$A277,360,'With Loan'!$D$40,0,0)</f>
        <v>288.99239651527705</v>
      </c>
      <c r="D277" s="4">
        <f t="shared" si="9"/>
        <v>1215.6460097854253</v>
      </c>
      <c r="E277" s="3">
        <f t="shared" si="8"/>
        <v>91550.913271618556</v>
      </c>
    </row>
    <row r="278" spans="1:5" x14ac:dyDescent="0.25">
      <c r="A278">
        <v>275</v>
      </c>
      <c r="B278" s="4">
        <f>-PPMT('With Loan'!$D$41/12,'30% Down Amortization'!$A278,360,'With Loan'!$D$40,0,0)</f>
        <v>929.5494058116177</v>
      </c>
      <c r="C278" s="4">
        <f>-IPMT('With Loan'!$D$41/12,'30% Down Amortization'!$A278,360,'With Loan'!$D$40,0,0)</f>
        <v>286.09660397380776</v>
      </c>
      <c r="D278" s="4">
        <f t="shared" si="9"/>
        <v>1215.6460097854256</v>
      </c>
      <c r="E278" s="3">
        <f t="shared" si="8"/>
        <v>90621.363865806939</v>
      </c>
    </row>
    <row r="279" spans="1:5" x14ac:dyDescent="0.25">
      <c r="A279">
        <v>276</v>
      </c>
      <c r="B279" s="4">
        <f>-PPMT('With Loan'!$D$41/12,'30% Down Amortization'!$A279,360,'With Loan'!$D$40,0,0)</f>
        <v>932.45424770477882</v>
      </c>
      <c r="C279" s="4">
        <f>-IPMT('With Loan'!$D$41/12,'30% Down Amortization'!$A279,360,'With Loan'!$D$40,0,0)</f>
        <v>283.19176208064653</v>
      </c>
      <c r="D279" s="4">
        <f t="shared" si="9"/>
        <v>1215.6460097854253</v>
      </c>
      <c r="E279" s="3">
        <f t="shared" si="8"/>
        <v>89688.90961810216</v>
      </c>
    </row>
    <row r="280" spans="1:5" x14ac:dyDescent="0.25">
      <c r="A280">
        <v>277</v>
      </c>
      <c r="B280" s="4">
        <f>-PPMT('With Loan'!$D$41/12,'30% Down Amortization'!$A280,360,'With Loan'!$D$40,0,0)</f>
        <v>935.36816722885624</v>
      </c>
      <c r="C280" s="4">
        <f>-IPMT('With Loan'!$D$41/12,'30% Down Amortization'!$A280,360,'With Loan'!$D$40,0,0)</f>
        <v>280.27784255656911</v>
      </c>
      <c r="D280" s="4">
        <f t="shared" si="9"/>
        <v>1215.6460097854253</v>
      </c>
      <c r="E280" s="3">
        <f t="shared" si="8"/>
        <v>88753.541450873308</v>
      </c>
    </row>
    <row r="281" spans="1:5" x14ac:dyDescent="0.25">
      <c r="A281">
        <v>278</v>
      </c>
      <c r="B281" s="4">
        <f>-PPMT('With Loan'!$D$41/12,'30% Down Amortization'!$A281,360,'With Loan'!$D$40,0,0)</f>
        <v>938.29119275144649</v>
      </c>
      <c r="C281" s="4">
        <f>-IPMT('With Loan'!$D$41/12,'30% Down Amortization'!$A281,360,'With Loan'!$D$40,0,0)</f>
        <v>277.35481703397886</v>
      </c>
      <c r="D281" s="4">
        <f t="shared" si="9"/>
        <v>1215.6460097854253</v>
      </c>
      <c r="E281" s="3">
        <f t="shared" si="8"/>
        <v>87815.250258121858</v>
      </c>
    </row>
    <row r="282" spans="1:5" x14ac:dyDescent="0.25">
      <c r="A282">
        <v>279</v>
      </c>
      <c r="B282" s="4">
        <f>-PPMT('With Loan'!$D$41/12,'30% Down Amortization'!$A282,360,'With Loan'!$D$40,0,0)</f>
        <v>941.22335272879479</v>
      </c>
      <c r="C282" s="4">
        <f>-IPMT('With Loan'!$D$41/12,'30% Down Amortization'!$A282,360,'With Loan'!$D$40,0,0)</f>
        <v>274.42265705663067</v>
      </c>
      <c r="D282" s="4">
        <f t="shared" si="9"/>
        <v>1215.6460097854256</v>
      </c>
      <c r="E282" s="3">
        <f t="shared" si="8"/>
        <v>86874.026905393068</v>
      </c>
    </row>
    <row r="283" spans="1:5" x14ac:dyDescent="0.25">
      <c r="A283">
        <v>280</v>
      </c>
      <c r="B283" s="4">
        <f>-PPMT('With Loan'!$D$41/12,'30% Down Amortization'!$A283,360,'With Loan'!$D$40,0,0)</f>
        <v>944.1646757060721</v>
      </c>
      <c r="C283" s="4">
        <f>-IPMT('With Loan'!$D$41/12,'30% Down Amortization'!$A283,360,'With Loan'!$D$40,0,0)</f>
        <v>271.48133407935319</v>
      </c>
      <c r="D283" s="4">
        <f t="shared" si="9"/>
        <v>1215.6460097854253</v>
      </c>
      <c r="E283" s="3">
        <f t="shared" si="8"/>
        <v>85929.862229687002</v>
      </c>
    </row>
    <row r="284" spans="1:5" x14ac:dyDescent="0.25">
      <c r="A284">
        <v>281</v>
      </c>
      <c r="B284" s="4">
        <f>-PPMT('With Loan'!$D$41/12,'30% Down Amortization'!$A284,360,'With Loan'!$D$40,0,0)</f>
        <v>947.11519031765374</v>
      </c>
      <c r="C284" s="4">
        <f>-IPMT('With Loan'!$D$41/12,'30% Down Amortization'!$A284,360,'With Loan'!$D$40,0,0)</f>
        <v>268.53081946777172</v>
      </c>
      <c r="D284" s="4">
        <f t="shared" si="9"/>
        <v>1215.6460097854256</v>
      </c>
      <c r="E284" s="3">
        <f t="shared" si="8"/>
        <v>84982.747039369351</v>
      </c>
    </row>
    <row r="285" spans="1:5" x14ac:dyDescent="0.25">
      <c r="A285">
        <v>282</v>
      </c>
      <c r="B285" s="4">
        <f>-PPMT('With Loan'!$D$41/12,'30% Down Amortization'!$A285,360,'With Loan'!$D$40,0,0)</f>
        <v>950.07492528739635</v>
      </c>
      <c r="C285" s="4">
        <f>-IPMT('With Loan'!$D$41/12,'30% Down Amortization'!$A285,360,'With Loan'!$D$40,0,0)</f>
        <v>265.57108449802899</v>
      </c>
      <c r="D285" s="4">
        <f t="shared" si="9"/>
        <v>1215.6460097854253</v>
      </c>
      <c r="E285" s="3">
        <f t="shared" si="8"/>
        <v>84032.672114081957</v>
      </c>
    </row>
    <row r="286" spans="1:5" x14ac:dyDescent="0.25">
      <c r="A286">
        <v>283</v>
      </c>
      <c r="B286" s="4">
        <f>-PPMT('With Loan'!$D$41/12,'30% Down Amortization'!$A286,360,'With Loan'!$D$40,0,0)</f>
        <v>953.04390942891939</v>
      </c>
      <c r="C286" s="4">
        <f>-IPMT('With Loan'!$D$41/12,'30% Down Amortization'!$A286,360,'With Loan'!$D$40,0,0)</f>
        <v>262.6021003565059</v>
      </c>
      <c r="D286" s="4">
        <f t="shared" si="9"/>
        <v>1215.6460097854253</v>
      </c>
      <c r="E286" s="3">
        <f t="shared" si="8"/>
        <v>83079.62820465304</v>
      </c>
    </row>
    <row r="287" spans="1:5" x14ac:dyDescent="0.25">
      <c r="A287">
        <v>284</v>
      </c>
      <c r="B287" s="4">
        <f>-PPMT('With Loan'!$D$41/12,'30% Down Amortization'!$A287,360,'With Loan'!$D$40,0,0)</f>
        <v>956.02217164588478</v>
      </c>
      <c r="C287" s="4">
        <f>-IPMT('With Loan'!$D$41/12,'30% Down Amortization'!$A287,360,'With Loan'!$D$40,0,0)</f>
        <v>259.62383813954057</v>
      </c>
      <c r="D287" s="4">
        <f t="shared" si="9"/>
        <v>1215.6460097854253</v>
      </c>
      <c r="E287" s="3">
        <f t="shared" si="8"/>
        <v>82123.606033007149</v>
      </c>
    </row>
    <row r="288" spans="1:5" x14ac:dyDescent="0.25">
      <c r="A288">
        <v>285</v>
      </c>
      <c r="B288" s="4">
        <f>-PPMT('With Loan'!$D$41/12,'30% Down Amortization'!$A288,360,'With Loan'!$D$40,0,0)</f>
        <v>959.00974093227819</v>
      </c>
      <c r="C288" s="4">
        <f>-IPMT('With Loan'!$D$41/12,'30% Down Amortization'!$A288,360,'With Loan'!$D$40,0,0)</f>
        <v>256.63626885314716</v>
      </c>
      <c r="D288" s="4">
        <f t="shared" si="9"/>
        <v>1215.6460097854253</v>
      </c>
      <c r="E288" s="3">
        <f t="shared" si="8"/>
        <v>81164.596292074872</v>
      </c>
    </row>
    <row r="289" spans="1:5" x14ac:dyDescent="0.25">
      <c r="A289">
        <v>286</v>
      </c>
      <c r="B289" s="4">
        <f>-PPMT('With Loan'!$D$41/12,'30% Down Amortization'!$A289,360,'With Loan'!$D$40,0,0)</f>
        <v>962.00664637269153</v>
      </c>
      <c r="C289" s="4">
        <f>-IPMT('With Loan'!$D$41/12,'30% Down Amortization'!$A289,360,'With Loan'!$D$40,0,0)</f>
        <v>253.63936341273381</v>
      </c>
      <c r="D289" s="4">
        <f t="shared" si="9"/>
        <v>1215.6460097854253</v>
      </c>
      <c r="E289" s="3">
        <f t="shared" si="8"/>
        <v>80202.589645702174</v>
      </c>
    </row>
    <row r="290" spans="1:5" x14ac:dyDescent="0.25">
      <c r="A290">
        <v>287</v>
      </c>
      <c r="B290" s="4">
        <f>-PPMT('With Loan'!$D$41/12,'30% Down Amortization'!$A290,360,'With Loan'!$D$40,0,0)</f>
        <v>965.01291714260628</v>
      </c>
      <c r="C290" s="4">
        <f>-IPMT('With Loan'!$D$41/12,'30% Down Amortization'!$A290,360,'With Loan'!$D$40,0,0)</f>
        <v>250.63309264281909</v>
      </c>
      <c r="D290" s="4">
        <f t="shared" si="9"/>
        <v>1215.6460097854253</v>
      </c>
      <c r="E290" s="3">
        <f t="shared" ref="E290:E353" si="10">E289-B290</f>
        <v>79237.576728559565</v>
      </c>
    </row>
    <row r="291" spans="1:5" x14ac:dyDescent="0.25">
      <c r="A291">
        <v>288</v>
      </c>
      <c r="B291" s="4">
        <f>-PPMT('With Loan'!$D$41/12,'30% Down Amortization'!$A291,360,'With Loan'!$D$40,0,0)</f>
        <v>968.02858250867689</v>
      </c>
      <c r="C291" s="4">
        <f>-IPMT('With Loan'!$D$41/12,'30% Down Amortization'!$A291,360,'With Loan'!$D$40,0,0)</f>
        <v>247.61742727674843</v>
      </c>
      <c r="D291" s="4">
        <f t="shared" si="9"/>
        <v>1215.6460097854253</v>
      </c>
      <c r="E291" s="3">
        <f t="shared" si="10"/>
        <v>78269.548146050889</v>
      </c>
    </row>
    <row r="292" spans="1:5" x14ac:dyDescent="0.25">
      <c r="A292">
        <v>289</v>
      </c>
      <c r="B292" s="4">
        <f>-PPMT('With Loan'!$D$41/12,'30% Down Amortization'!$A292,360,'With Loan'!$D$40,0,0)</f>
        <v>971.05367182901659</v>
      </c>
      <c r="C292" s="4">
        <f>-IPMT('With Loan'!$D$41/12,'30% Down Amortization'!$A292,360,'With Loan'!$D$40,0,0)</f>
        <v>244.59233795640881</v>
      </c>
      <c r="D292" s="4">
        <f t="shared" si="9"/>
        <v>1215.6460097854253</v>
      </c>
      <c r="E292" s="3">
        <f t="shared" si="10"/>
        <v>77298.494474221879</v>
      </c>
    </row>
    <row r="293" spans="1:5" x14ac:dyDescent="0.25">
      <c r="A293">
        <v>290</v>
      </c>
      <c r="B293" s="4">
        <f>-PPMT('With Loan'!$D$41/12,'30% Down Amortization'!$A293,360,'With Loan'!$D$40,0,0)</f>
        <v>974.08821455348232</v>
      </c>
      <c r="C293" s="4">
        <f>-IPMT('With Loan'!$D$41/12,'30% Down Amortization'!$A293,360,'With Loan'!$D$40,0,0)</f>
        <v>241.55779523194317</v>
      </c>
      <c r="D293" s="4">
        <f t="shared" si="9"/>
        <v>1215.6460097854256</v>
      </c>
      <c r="E293" s="3">
        <f t="shared" si="10"/>
        <v>76324.406259668394</v>
      </c>
    </row>
    <row r="294" spans="1:5" x14ac:dyDescent="0.25">
      <c r="A294">
        <v>291</v>
      </c>
      <c r="B294" s="4">
        <f>-PPMT('With Loan'!$D$41/12,'30% Down Amortization'!$A294,360,'With Loan'!$D$40,0,0)</f>
        <v>977.13224022396184</v>
      </c>
      <c r="C294" s="4">
        <f>-IPMT('With Loan'!$D$41/12,'30% Down Amortization'!$A294,360,'With Loan'!$D$40,0,0)</f>
        <v>238.51376956146359</v>
      </c>
      <c r="D294" s="4">
        <f t="shared" si="9"/>
        <v>1215.6460097854253</v>
      </c>
      <c r="E294" s="3">
        <f t="shared" si="10"/>
        <v>75347.274019444434</v>
      </c>
    </row>
    <row r="295" spans="1:5" x14ac:dyDescent="0.25">
      <c r="A295">
        <v>292</v>
      </c>
      <c r="B295" s="4">
        <f>-PPMT('With Loan'!$D$41/12,'30% Down Amortization'!$A295,360,'With Loan'!$D$40,0,0)</f>
        <v>980.18577847466179</v>
      </c>
      <c r="C295" s="4">
        <f>-IPMT('With Loan'!$D$41/12,'30% Down Amortization'!$A295,360,'With Loan'!$D$40,0,0)</f>
        <v>235.46023131076365</v>
      </c>
      <c r="D295" s="4">
        <f t="shared" si="9"/>
        <v>1215.6460097854253</v>
      </c>
      <c r="E295" s="3">
        <f t="shared" si="10"/>
        <v>74367.088240969766</v>
      </c>
    </row>
    <row r="296" spans="1:5" x14ac:dyDescent="0.25">
      <c r="A296">
        <v>293</v>
      </c>
      <c r="B296" s="4">
        <f>-PPMT('With Loan'!$D$41/12,'30% Down Amortization'!$A296,360,'With Loan'!$D$40,0,0)</f>
        <v>983.24885903239488</v>
      </c>
      <c r="C296" s="4">
        <f>-IPMT('With Loan'!$D$41/12,'30% Down Amortization'!$A296,360,'With Loan'!$D$40,0,0)</f>
        <v>232.39715075303033</v>
      </c>
      <c r="D296" s="4">
        <f t="shared" si="9"/>
        <v>1215.6460097854251</v>
      </c>
      <c r="E296" s="3">
        <f t="shared" si="10"/>
        <v>73383.839381937374</v>
      </c>
    </row>
    <row r="297" spans="1:5" x14ac:dyDescent="0.25">
      <c r="A297">
        <v>294</v>
      </c>
      <c r="B297" s="4">
        <f>-PPMT('With Loan'!$D$41/12,'30% Down Amortization'!$A297,360,'With Loan'!$D$40,0,0)</f>
        <v>986.32151171687133</v>
      </c>
      <c r="C297" s="4">
        <f>-IPMT('With Loan'!$D$41/12,'30% Down Amortization'!$A297,360,'With Loan'!$D$40,0,0)</f>
        <v>229.32449806855413</v>
      </c>
      <c r="D297" s="4">
        <f t="shared" si="9"/>
        <v>1215.6460097854256</v>
      </c>
      <c r="E297" s="3">
        <f t="shared" si="10"/>
        <v>72397.517870220501</v>
      </c>
    </row>
    <row r="298" spans="1:5" x14ac:dyDescent="0.25">
      <c r="A298">
        <v>295</v>
      </c>
      <c r="B298" s="4">
        <f>-PPMT('With Loan'!$D$41/12,'30% Down Amortization'!$A298,360,'With Loan'!$D$40,0,0)</f>
        <v>989.4037664409866</v>
      </c>
      <c r="C298" s="4">
        <f>-IPMT('With Loan'!$D$41/12,'30% Down Amortization'!$A298,360,'With Loan'!$D$40,0,0)</f>
        <v>226.24224334443886</v>
      </c>
      <c r="D298" s="4">
        <f t="shared" si="9"/>
        <v>1215.6460097854256</v>
      </c>
      <c r="E298" s="3">
        <f t="shared" si="10"/>
        <v>71408.114103779517</v>
      </c>
    </row>
    <row r="299" spans="1:5" x14ac:dyDescent="0.25">
      <c r="A299">
        <v>296</v>
      </c>
      <c r="B299" s="4">
        <f>-PPMT('With Loan'!$D$41/12,'30% Down Amortization'!$A299,360,'With Loan'!$D$40,0,0)</f>
        <v>992.49565321111447</v>
      </c>
      <c r="C299" s="4">
        <f>-IPMT('With Loan'!$D$41/12,'30% Down Amortization'!$A299,360,'With Loan'!$D$40,0,0)</f>
        <v>223.15035657431085</v>
      </c>
      <c r="D299" s="4">
        <f t="shared" si="9"/>
        <v>1215.6460097854253</v>
      </c>
      <c r="E299" s="3">
        <f t="shared" si="10"/>
        <v>70415.618450568407</v>
      </c>
    </row>
    <row r="300" spans="1:5" x14ac:dyDescent="0.25">
      <c r="A300">
        <v>297</v>
      </c>
      <c r="B300" s="4">
        <f>-PPMT('With Loan'!$D$41/12,'30% Down Amortization'!$A300,360,'With Loan'!$D$40,0,0)</f>
        <v>995.59720212739933</v>
      </c>
      <c r="C300" s="4">
        <f>-IPMT('With Loan'!$D$41/12,'30% Down Amortization'!$A300,360,'With Loan'!$D$40,0,0)</f>
        <v>220.04880765802608</v>
      </c>
      <c r="D300" s="4">
        <f t="shared" si="9"/>
        <v>1215.6460097854253</v>
      </c>
      <c r="E300" s="3">
        <f t="shared" si="10"/>
        <v>69420.021248441</v>
      </c>
    </row>
    <row r="301" spans="1:5" x14ac:dyDescent="0.25">
      <c r="A301">
        <v>298</v>
      </c>
      <c r="B301" s="4">
        <f>-PPMT('With Loan'!$D$41/12,'30% Down Amortization'!$A301,360,'With Loan'!$D$40,0,0)</f>
        <v>998.70844338404743</v>
      </c>
      <c r="C301" s="4">
        <f>-IPMT('With Loan'!$D$41/12,'30% Down Amortization'!$A301,360,'With Loan'!$D$40,0,0)</f>
        <v>216.93756640137792</v>
      </c>
      <c r="D301" s="4">
        <f t="shared" si="9"/>
        <v>1215.6460097854253</v>
      </c>
      <c r="E301" s="3">
        <f t="shared" si="10"/>
        <v>68421.31280505695</v>
      </c>
    </row>
    <row r="302" spans="1:5" x14ac:dyDescent="0.25">
      <c r="A302">
        <v>299</v>
      </c>
      <c r="B302" s="4">
        <f>-PPMT('With Loan'!$D$41/12,'30% Down Amortization'!$A302,360,'With Loan'!$D$40,0,0)</f>
        <v>1001.8294072696225</v>
      </c>
      <c r="C302" s="4">
        <f>-IPMT('With Loan'!$D$41/12,'30% Down Amortization'!$A302,360,'With Loan'!$D$40,0,0)</f>
        <v>213.81660251580283</v>
      </c>
      <c r="D302" s="4">
        <f t="shared" si="9"/>
        <v>1215.6460097854253</v>
      </c>
      <c r="E302" s="3">
        <f t="shared" si="10"/>
        <v>67419.483397787335</v>
      </c>
    </row>
    <row r="303" spans="1:5" x14ac:dyDescent="0.25">
      <c r="A303">
        <v>300</v>
      </c>
      <c r="B303" s="4">
        <f>-PPMT('With Loan'!$D$41/12,'30% Down Amortization'!$A303,360,'With Loan'!$D$40,0,0)</f>
        <v>1004.9601241673402</v>
      </c>
      <c r="C303" s="4">
        <f>-IPMT('With Loan'!$D$41/12,'30% Down Amortization'!$A303,360,'With Loan'!$D$40,0,0)</f>
        <v>210.68588561808517</v>
      </c>
      <c r="D303" s="4">
        <f t="shared" si="9"/>
        <v>1215.6460097854253</v>
      </c>
      <c r="E303" s="3">
        <f t="shared" si="10"/>
        <v>66414.523273619998</v>
      </c>
    </row>
    <row r="304" spans="1:5" x14ac:dyDescent="0.25">
      <c r="A304">
        <v>301</v>
      </c>
      <c r="B304" s="4">
        <f>-PPMT('With Loan'!$D$41/12,'30% Down Amortization'!$A304,360,'With Loan'!$D$40,0,0)</f>
        <v>1008.1006245553631</v>
      </c>
      <c r="C304" s="4">
        <f>-IPMT('With Loan'!$D$41/12,'30% Down Amortization'!$A304,360,'With Loan'!$D$40,0,0)</f>
        <v>207.54538523006229</v>
      </c>
      <c r="D304" s="4">
        <f t="shared" si="9"/>
        <v>1215.6460097854253</v>
      </c>
      <c r="E304" s="3">
        <f t="shared" si="10"/>
        <v>65406.422649064632</v>
      </c>
    </row>
    <row r="305" spans="1:5" x14ac:dyDescent="0.25">
      <c r="A305">
        <v>302</v>
      </c>
      <c r="B305" s="4">
        <f>-PPMT('With Loan'!$D$41/12,'30% Down Amortization'!$A305,360,'With Loan'!$D$40,0,0)</f>
        <v>1011.2509390070986</v>
      </c>
      <c r="C305" s="4">
        <f>-IPMT('With Loan'!$D$41/12,'30% Down Amortization'!$A305,360,'With Loan'!$D$40,0,0)</f>
        <v>204.39507077832681</v>
      </c>
      <c r="D305" s="4">
        <f t="shared" si="9"/>
        <v>1215.6460097854253</v>
      </c>
      <c r="E305" s="3">
        <f t="shared" si="10"/>
        <v>64395.171710057533</v>
      </c>
    </row>
    <row r="306" spans="1:5" x14ac:dyDescent="0.25">
      <c r="A306">
        <v>303</v>
      </c>
      <c r="B306" s="4">
        <f>-PPMT('With Loan'!$D$41/12,'30% Down Amortization'!$A306,360,'With Loan'!$D$40,0,0)</f>
        <v>1014.4110981914957</v>
      </c>
      <c r="C306" s="4">
        <f>-IPMT('With Loan'!$D$41/12,'30% Down Amortization'!$A306,360,'With Loan'!$D$40,0,0)</f>
        <v>201.23491159392961</v>
      </c>
      <c r="D306" s="4">
        <f t="shared" si="9"/>
        <v>1215.6460097854253</v>
      </c>
      <c r="E306" s="3">
        <f t="shared" si="10"/>
        <v>63380.760611866041</v>
      </c>
    </row>
    <row r="307" spans="1:5" x14ac:dyDescent="0.25">
      <c r="A307">
        <v>304</v>
      </c>
      <c r="B307" s="4">
        <f>-PPMT('With Loan'!$D$41/12,'30% Down Amortization'!$A307,360,'With Loan'!$D$40,0,0)</f>
        <v>1017.5811328733442</v>
      </c>
      <c r="C307" s="4">
        <f>-IPMT('With Loan'!$D$41/12,'30% Down Amortization'!$A307,360,'With Loan'!$D$40,0,0)</f>
        <v>198.06487691208119</v>
      </c>
      <c r="D307" s="4">
        <f t="shared" si="9"/>
        <v>1215.6460097854253</v>
      </c>
      <c r="E307" s="3">
        <f t="shared" si="10"/>
        <v>62363.179478992693</v>
      </c>
    </row>
    <row r="308" spans="1:5" x14ac:dyDescent="0.25">
      <c r="A308">
        <v>305</v>
      </c>
      <c r="B308" s="4">
        <f>-PPMT('With Loan'!$D$41/12,'30% Down Amortization'!$A308,360,'With Loan'!$D$40,0,0)</f>
        <v>1020.7610739135733</v>
      </c>
      <c r="C308" s="4">
        <f>-IPMT('With Loan'!$D$41/12,'30% Down Amortization'!$A308,360,'With Loan'!$D$40,0,0)</f>
        <v>194.88493587185198</v>
      </c>
      <c r="D308" s="4">
        <f t="shared" si="9"/>
        <v>1215.6460097854253</v>
      </c>
      <c r="E308" s="3">
        <f t="shared" si="10"/>
        <v>61342.418405079123</v>
      </c>
    </row>
    <row r="309" spans="1:5" x14ac:dyDescent="0.25">
      <c r="A309">
        <v>306</v>
      </c>
      <c r="B309" s="4">
        <f>-PPMT('With Loan'!$D$41/12,'30% Down Amortization'!$A309,360,'With Loan'!$D$40,0,0)</f>
        <v>1023.9509522695533</v>
      </c>
      <c r="C309" s="4">
        <f>-IPMT('With Loan'!$D$41/12,'30% Down Amortization'!$A309,360,'With Loan'!$D$40,0,0)</f>
        <v>191.69505751587209</v>
      </c>
      <c r="D309" s="4">
        <f t="shared" si="9"/>
        <v>1215.6460097854253</v>
      </c>
      <c r="E309" s="3">
        <f t="shared" si="10"/>
        <v>60318.467452809571</v>
      </c>
    </row>
    <row r="310" spans="1:5" x14ac:dyDescent="0.25">
      <c r="A310">
        <v>307</v>
      </c>
      <c r="B310" s="4">
        <f>-PPMT('With Loan'!$D$41/12,'30% Down Amortization'!$A310,360,'With Loan'!$D$40,0,0)</f>
        <v>1027.1507989953957</v>
      </c>
      <c r="C310" s="4">
        <f>-IPMT('With Loan'!$D$41/12,'30% Down Amortization'!$A310,360,'With Loan'!$D$40,0,0)</f>
        <v>188.49521079002972</v>
      </c>
      <c r="D310" s="4">
        <f t="shared" si="9"/>
        <v>1215.6460097854253</v>
      </c>
      <c r="E310" s="3">
        <f t="shared" si="10"/>
        <v>59291.316653814174</v>
      </c>
    </row>
    <row r="311" spans="1:5" x14ac:dyDescent="0.25">
      <c r="A311">
        <v>308</v>
      </c>
      <c r="B311" s="4">
        <f>-PPMT('With Loan'!$D$41/12,'30% Down Amortization'!$A311,360,'With Loan'!$D$40,0,0)</f>
        <v>1030.3606452422564</v>
      </c>
      <c r="C311" s="4">
        <f>-IPMT('With Loan'!$D$41/12,'30% Down Amortization'!$A311,360,'With Loan'!$D$40,0,0)</f>
        <v>185.28536454316909</v>
      </c>
      <c r="D311" s="4">
        <f t="shared" si="9"/>
        <v>1215.6460097854256</v>
      </c>
      <c r="E311" s="3">
        <f t="shared" si="10"/>
        <v>58260.95600857192</v>
      </c>
    </row>
    <row r="312" spans="1:5" x14ac:dyDescent="0.25">
      <c r="A312">
        <v>309</v>
      </c>
      <c r="B312" s="4">
        <f>-PPMT('With Loan'!$D$41/12,'30% Down Amortization'!$A312,360,'With Loan'!$D$40,0,0)</f>
        <v>1033.5805222586382</v>
      </c>
      <c r="C312" s="4">
        <f>-IPMT('With Loan'!$D$41/12,'30% Down Amortization'!$A312,360,'With Loan'!$D$40,0,0)</f>
        <v>182.06548752678702</v>
      </c>
      <c r="D312" s="4">
        <f t="shared" si="9"/>
        <v>1215.6460097854251</v>
      </c>
      <c r="E312" s="3">
        <f t="shared" si="10"/>
        <v>57227.375486313285</v>
      </c>
    </row>
    <row r="313" spans="1:5" x14ac:dyDescent="0.25">
      <c r="A313">
        <v>310</v>
      </c>
      <c r="B313" s="4">
        <f>-PPMT('With Loan'!$D$41/12,'30% Down Amortization'!$A313,360,'With Loan'!$D$40,0,0)</f>
        <v>1036.8104613906967</v>
      </c>
      <c r="C313" s="4">
        <f>-IPMT('With Loan'!$D$41/12,'30% Down Amortization'!$A313,360,'With Loan'!$D$40,0,0)</f>
        <v>178.83554839472879</v>
      </c>
      <c r="D313" s="4">
        <f t="shared" si="9"/>
        <v>1215.6460097854256</v>
      </c>
      <c r="E313" s="3">
        <f t="shared" si="10"/>
        <v>56190.565024922587</v>
      </c>
    </row>
    <row r="314" spans="1:5" x14ac:dyDescent="0.25">
      <c r="A314">
        <v>311</v>
      </c>
      <c r="B314" s="4">
        <f>-PPMT('With Loan'!$D$41/12,'30% Down Amortization'!$A314,360,'With Loan'!$D$40,0,0)</f>
        <v>1040.0504940825424</v>
      </c>
      <c r="C314" s="4">
        <f>-IPMT('With Loan'!$D$41/12,'30% Down Amortization'!$A314,360,'With Loan'!$D$40,0,0)</f>
        <v>175.59551570288284</v>
      </c>
      <c r="D314" s="4">
        <f t="shared" si="9"/>
        <v>1215.6460097854251</v>
      </c>
      <c r="E314" s="3">
        <f t="shared" si="10"/>
        <v>55150.514530840046</v>
      </c>
    </row>
    <row r="315" spans="1:5" x14ac:dyDescent="0.25">
      <c r="A315">
        <v>312</v>
      </c>
      <c r="B315" s="4">
        <f>-PPMT('With Loan'!$D$41/12,'30% Down Amortization'!$A315,360,'With Loan'!$D$40,0,0)</f>
        <v>1043.3006518765505</v>
      </c>
      <c r="C315" s="4">
        <f>-IPMT('With Loan'!$D$41/12,'30% Down Amortization'!$A315,360,'With Loan'!$D$40,0,0)</f>
        <v>172.34535790887492</v>
      </c>
      <c r="D315" s="4">
        <f t="shared" si="9"/>
        <v>1215.6460097854256</v>
      </c>
      <c r="E315" s="3">
        <f t="shared" si="10"/>
        <v>54107.213878963492</v>
      </c>
    </row>
    <row r="316" spans="1:5" x14ac:dyDescent="0.25">
      <c r="A316">
        <v>313</v>
      </c>
      <c r="B316" s="4">
        <f>-PPMT('With Loan'!$D$41/12,'30% Down Amortization'!$A316,360,'With Loan'!$D$40,0,0)</f>
        <v>1046.5609664136646</v>
      </c>
      <c r="C316" s="4">
        <f>-IPMT('With Loan'!$D$41/12,'30% Down Amortization'!$A316,360,'With Loan'!$D$40,0,0)</f>
        <v>169.08504337176072</v>
      </c>
      <c r="D316" s="4">
        <f t="shared" si="9"/>
        <v>1215.6460097854253</v>
      </c>
      <c r="E316" s="3">
        <f t="shared" si="10"/>
        <v>53060.652912549827</v>
      </c>
    </row>
    <row r="317" spans="1:5" x14ac:dyDescent="0.25">
      <c r="A317">
        <v>314</v>
      </c>
      <c r="B317" s="4">
        <f>-PPMT('With Loan'!$D$41/12,'30% Down Amortization'!$A317,360,'With Loan'!$D$40,0,0)</f>
        <v>1049.8314694337073</v>
      </c>
      <c r="C317" s="4">
        <f>-IPMT('With Loan'!$D$41/12,'30% Down Amortization'!$A317,360,'With Loan'!$D$40,0,0)</f>
        <v>165.81454035171799</v>
      </c>
      <c r="D317" s="4">
        <f t="shared" si="9"/>
        <v>1215.6460097854253</v>
      </c>
      <c r="E317" s="3">
        <f t="shared" si="10"/>
        <v>52010.821443116118</v>
      </c>
    </row>
    <row r="318" spans="1:5" x14ac:dyDescent="0.25">
      <c r="A318">
        <v>315</v>
      </c>
      <c r="B318" s="4">
        <f>-PPMT('With Loan'!$D$41/12,'30% Down Amortization'!$A318,360,'With Loan'!$D$40,0,0)</f>
        <v>1053.1121927756876</v>
      </c>
      <c r="C318" s="4">
        <f>-IPMT('With Loan'!$D$41/12,'30% Down Amortization'!$A318,360,'With Loan'!$D$40,0,0)</f>
        <v>162.53381700973767</v>
      </c>
      <c r="D318" s="4">
        <f t="shared" si="9"/>
        <v>1215.6460097854253</v>
      </c>
      <c r="E318" s="3">
        <f t="shared" si="10"/>
        <v>50957.709250340427</v>
      </c>
    </row>
    <row r="319" spans="1:5" x14ac:dyDescent="0.25">
      <c r="A319">
        <v>316</v>
      </c>
      <c r="B319" s="4">
        <f>-PPMT('With Loan'!$D$41/12,'30% Down Amortization'!$A319,360,'With Loan'!$D$40,0,0)</f>
        <v>1056.4031683781118</v>
      </c>
      <c r="C319" s="4">
        <f>-IPMT('With Loan'!$D$41/12,'30% Down Amortization'!$A319,360,'With Loan'!$D$40,0,0)</f>
        <v>159.24284140731362</v>
      </c>
      <c r="D319" s="4">
        <f t="shared" si="9"/>
        <v>1215.6460097854253</v>
      </c>
      <c r="E319" s="3">
        <f t="shared" si="10"/>
        <v>49901.306081962313</v>
      </c>
    </row>
    <row r="320" spans="1:5" x14ac:dyDescent="0.25">
      <c r="A320">
        <v>317</v>
      </c>
      <c r="B320" s="4">
        <f>-PPMT('With Loan'!$D$41/12,'30% Down Amortization'!$A320,360,'With Loan'!$D$40,0,0)</f>
        <v>1059.7044282792933</v>
      </c>
      <c r="C320" s="4">
        <f>-IPMT('With Loan'!$D$41/12,'30% Down Amortization'!$A320,360,'With Loan'!$D$40,0,0)</f>
        <v>155.94158150613205</v>
      </c>
      <c r="D320" s="4">
        <f t="shared" si="9"/>
        <v>1215.6460097854253</v>
      </c>
      <c r="E320" s="3">
        <f t="shared" si="10"/>
        <v>48841.601653683021</v>
      </c>
    </row>
    <row r="321" spans="1:5" x14ac:dyDescent="0.25">
      <c r="A321">
        <v>318</v>
      </c>
      <c r="B321" s="4">
        <f>-PPMT('With Loan'!$D$41/12,'30% Down Amortization'!$A321,360,'With Loan'!$D$40,0,0)</f>
        <v>1063.0160046176661</v>
      </c>
      <c r="C321" s="4">
        <f>-IPMT('With Loan'!$D$41/12,'30% Down Amortization'!$A321,360,'With Loan'!$D$40,0,0)</f>
        <v>152.63000516775924</v>
      </c>
      <c r="D321" s="4">
        <f t="shared" si="9"/>
        <v>1215.6460097854253</v>
      </c>
      <c r="E321" s="3">
        <f t="shared" si="10"/>
        <v>47778.585649065353</v>
      </c>
    </row>
    <row r="322" spans="1:5" x14ac:dyDescent="0.25">
      <c r="A322">
        <v>319</v>
      </c>
      <c r="B322" s="4">
        <f>-PPMT('With Loan'!$D$41/12,'30% Down Amortization'!$A322,360,'With Loan'!$D$40,0,0)</f>
        <v>1066.3379296320963</v>
      </c>
      <c r="C322" s="4">
        <f>-IPMT('With Loan'!$D$41/12,'30% Down Amortization'!$A322,360,'With Loan'!$D$40,0,0)</f>
        <v>149.30808015332906</v>
      </c>
      <c r="D322" s="4">
        <f t="shared" si="9"/>
        <v>1215.6460097854253</v>
      </c>
      <c r="E322" s="3">
        <f t="shared" si="10"/>
        <v>46712.24771943326</v>
      </c>
    </row>
    <row r="323" spans="1:5" x14ac:dyDescent="0.25">
      <c r="A323">
        <v>320</v>
      </c>
      <c r="B323" s="4">
        <f>-PPMT('With Loan'!$D$41/12,'30% Down Amortization'!$A323,360,'With Loan'!$D$40,0,0)</f>
        <v>1069.6702356621965</v>
      </c>
      <c r="C323" s="4">
        <f>-IPMT('With Loan'!$D$41/12,'30% Down Amortization'!$A323,360,'With Loan'!$D$40,0,0)</f>
        <v>145.97577412322877</v>
      </c>
      <c r="D323" s="4">
        <f t="shared" si="9"/>
        <v>1215.6460097854253</v>
      </c>
      <c r="E323" s="3">
        <f t="shared" si="10"/>
        <v>45642.577483771063</v>
      </c>
    </row>
    <row r="324" spans="1:5" x14ac:dyDescent="0.25">
      <c r="A324">
        <v>321</v>
      </c>
      <c r="B324" s="4">
        <f>-PPMT('With Loan'!$D$41/12,'30% Down Amortization'!$A324,360,'With Loan'!$D$40,0,0)</f>
        <v>1073.0129551486409</v>
      </c>
      <c r="C324" s="4">
        <f>-IPMT('With Loan'!$D$41/12,'30% Down Amortization'!$A324,360,'With Loan'!$D$40,0,0)</f>
        <v>142.63305463678438</v>
      </c>
      <c r="D324" s="4">
        <f t="shared" si="9"/>
        <v>1215.6460097854253</v>
      </c>
      <c r="E324" s="3">
        <f t="shared" si="10"/>
        <v>44569.564528622424</v>
      </c>
    </row>
    <row r="325" spans="1:5" x14ac:dyDescent="0.25">
      <c r="A325">
        <v>322</v>
      </c>
      <c r="B325" s="4">
        <f>-PPMT('With Loan'!$D$41/12,'30% Down Amortization'!$A325,360,'With Loan'!$D$40,0,0)</f>
        <v>1076.3661206334805</v>
      </c>
      <c r="C325" s="4">
        <f>-IPMT('With Loan'!$D$41/12,'30% Down Amortization'!$A325,360,'With Loan'!$D$40,0,0)</f>
        <v>139.27988915194487</v>
      </c>
      <c r="D325" s="4">
        <f t="shared" ref="D325:D363" si="11">B325+C325</f>
        <v>1215.6460097854253</v>
      </c>
      <c r="E325" s="3">
        <f t="shared" si="10"/>
        <v>43493.198407988944</v>
      </c>
    </row>
    <row r="326" spans="1:5" x14ac:dyDescent="0.25">
      <c r="A326">
        <v>323</v>
      </c>
      <c r="B326" s="4">
        <f>-PPMT('With Loan'!$D$41/12,'30% Down Amortization'!$A326,360,'With Loan'!$D$40,0,0)</f>
        <v>1079.7297647604601</v>
      </c>
      <c r="C326" s="4">
        <f>-IPMT('With Loan'!$D$41/12,'30% Down Amortization'!$A326,360,'With Loan'!$D$40,0,0)</f>
        <v>135.91624502496524</v>
      </c>
      <c r="D326" s="4">
        <f t="shared" si="11"/>
        <v>1215.6460097854253</v>
      </c>
      <c r="E326" s="3">
        <f t="shared" si="10"/>
        <v>42413.468643228487</v>
      </c>
    </row>
    <row r="327" spans="1:5" x14ac:dyDescent="0.25">
      <c r="A327">
        <v>324</v>
      </c>
      <c r="B327" s="4">
        <f>-PPMT('With Loan'!$D$41/12,'30% Down Amortization'!$A327,360,'With Loan'!$D$40,0,0)</f>
        <v>1083.1039202753363</v>
      </c>
      <c r="C327" s="4">
        <f>-IPMT('With Loan'!$D$41/12,'30% Down Amortization'!$A327,360,'With Loan'!$D$40,0,0)</f>
        <v>132.5420895100888</v>
      </c>
      <c r="D327" s="4">
        <f t="shared" si="11"/>
        <v>1215.6460097854251</v>
      </c>
      <c r="E327" s="3">
        <f t="shared" si="10"/>
        <v>41330.364722953149</v>
      </c>
    </row>
    <row r="328" spans="1:5" x14ac:dyDescent="0.25">
      <c r="A328">
        <v>325</v>
      </c>
      <c r="B328" s="4">
        <f>-PPMT('With Loan'!$D$41/12,'30% Down Amortization'!$A328,360,'With Loan'!$D$40,0,0)</f>
        <v>1086.4886200261969</v>
      </c>
      <c r="C328" s="4">
        <f>-IPMT('With Loan'!$D$41/12,'30% Down Amortization'!$A328,360,'With Loan'!$D$40,0,0)</f>
        <v>129.15738975922838</v>
      </c>
      <c r="D328" s="4">
        <f t="shared" si="11"/>
        <v>1215.6460097854253</v>
      </c>
      <c r="E328" s="3">
        <f t="shared" si="10"/>
        <v>40243.876102926952</v>
      </c>
    </row>
    <row r="329" spans="1:5" x14ac:dyDescent="0.25">
      <c r="A329">
        <v>326</v>
      </c>
      <c r="B329" s="4">
        <f>-PPMT('With Loan'!$D$41/12,'30% Down Amortization'!$A329,360,'With Loan'!$D$40,0,0)</f>
        <v>1089.8838969637789</v>
      </c>
      <c r="C329" s="4">
        <f>-IPMT('With Loan'!$D$41/12,'30% Down Amortization'!$A329,360,'With Loan'!$D$40,0,0)</f>
        <v>125.76211282164651</v>
      </c>
      <c r="D329" s="4">
        <f t="shared" si="11"/>
        <v>1215.6460097854253</v>
      </c>
      <c r="E329" s="3">
        <f t="shared" si="10"/>
        <v>39153.992205963172</v>
      </c>
    </row>
    <row r="330" spans="1:5" x14ac:dyDescent="0.25">
      <c r="A330">
        <v>327</v>
      </c>
      <c r="B330" s="4">
        <f>-PPMT('With Loan'!$D$41/12,'30% Down Amortization'!$A330,360,'With Loan'!$D$40,0,0)</f>
        <v>1093.2897841417907</v>
      </c>
      <c r="C330" s="4">
        <f>-IPMT('With Loan'!$D$41/12,'30% Down Amortization'!$A330,360,'With Loan'!$D$40,0,0)</f>
        <v>122.3562256436347</v>
      </c>
      <c r="D330" s="4">
        <f t="shared" si="11"/>
        <v>1215.6460097854253</v>
      </c>
      <c r="E330" s="3">
        <f t="shared" si="10"/>
        <v>38060.702421821377</v>
      </c>
    </row>
    <row r="331" spans="1:5" x14ac:dyDescent="0.25">
      <c r="A331">
        <v>328</v>
      </c>
      <c r="B331" s="4">
        <f>-PPMT('With Loan'!$D$41/12,'30% Down Amortization'!$A331,360,'With Loan'!$D$40,0,0)</f>
        <v>1096.7063147172337</v>
      </c>
      <c r="C331" s="4">
        <f>-IPMT('With Loan'!$D$41/12,'30% Down Amortization'!$A331,360,'With Loan'!$D$40,0,0)</f>
        <v>118.93969506819164</v>
      </c>
      <c r="D331" s="4">
        <f t="shared" si="11"/>
        <v>1215.6460097854253</v>
      </c>
      <c r="E331" s="3">
        <f t="shared" si="10"/>
        <v>36963.996107104147</v>
      </c>
    </row>
    <row r="332" spans="1:5" x14ac:dyDescent="0.25">
      <c r="A332">
        <v>329</v>
      </c>
      <c r="B332" s="4">
        <f>-PPMT('With Loan'!$D$41/12,'30% Down Amortization'!$A332,360,'With Loan'!$D$40,0,0)</f>
        <v>1100.1335219507253</v>
      </c>
      <c r="C332" s="4">
        <f>-IPMT('With Loan'!$D$41/12,'30% Down Amortization'!$A332,360,'With Loan'!$D$40,0,0)</f>
        <v>115.51248783470025</v>
      </c>
      <c r="D332" s="4">
        <f t="shared" si="11"/>
        <v>1215.6460097854256</v>
      </c>
      <c r="E332" s="3">
        <f t="shared" si="10"/>
        <v>35863.862585153423</v>
      </c>
    </row>
    <row r="333" spans="1:5" x14ac:dyDescent="0.25">
      <c r="A333">
        <v>330</v>
      </c>
      <c r="B333" s="4">
        <f>-PPMT('With Loan'!$D$41/12,'30% Down Amortization'!$A333,360,'With Loan'!$D$40,0,0)</f>
        <v>1103.5714392068212</v>
      </c>
      <c r="C333" s="4">
        <f>-IPMT('With Loan'!$D$41/12,'30% Down Amortization'!$A333,360,'With Loan'!$D$40,0,0)</f>
        <v>112.07457057860424</v>
      </c>
      <c r="D333" s="4">
        <f t="shared" si="11"/>
        <v>1215.6460097854253</v>
      </c>
      <c r="E333" s="3">
        <f t="shared" si="10"/>
        <v>34760.291145946605</v>
      </c>
    </row>
    <row r="334" spans="1:5" x14ac:dyDescent="0.25">
      <c r="A334">
        <v>331</v>
      </c>
      <c r="B334" s="4">
        <f>-PPMT('With Loan'!$D$41/12,'30% Down Amortization'!$A334,360,'With Loan'!$D$40,0,0)</f>
        <v>1107.0200999543424</v>
      </c>
      <c r="C334" s="4">
        <f>-IPMT('With Loan'!$D$41/12,'30% Down Amortization'!$A334,360,'With Loan'!$D$40,0,0)</f>
        <v>108.62590983108292</v>
      </c>
      <c r="D334" s="4">
        <f t="shared" si="11"/>
        <v>1215.6460097854253</v>
      </c>
      <c r="E334" s="3">
        <f t="shared" si="10"/>
        <v>33653.27104599226</v>
      </c>
    </row>
    <row r="335" spans="1:5" x14ac:dyDescent="0.25">
      <c r="A335">
        <v>332</v>
      </c>
      <c r="B335" s="4">
        <f>-PPMT('With Loan'!$D$41/12,'30% Down Amortization'!$A335,360,'With Loan'!$D$40,0,0)</f>
        <v>1110.4795377666997</v>
      </c>
      <c r="C335" s="4">
        <f>-IPMT('With Loan'!$D$41/12,'30% Down Amortization'!$A335,360,'With Loan'!$D$40,0,0)</f>
        <v>105.1664720187256</v>
      </c>
      <c r="D335" s="4">
        <f t="shared" si="11"/>
        <v>1215.6460097854253</v>
      </c>
      <c r="E335" s="3">
        <f t="shared" si="10"/>
        <v>32542.79150822556</v>
      </c>
    </row>
    <row r="336" spans="1:5" x14ac:dyDescent="0.25">
      <c r="A336">
        <v>333</v>
      </c>
      <c r="B336" s="4">
        <f>-PPMT('With Loan'!$D$41/12,'30% Down Amortization'!$A336,360,'With Loan'!$D$40,0,0)</f>
        <v>1113.9497863222207</v>
      </c>
      <c r="C336" s="4">
        <f>-IPMT('With Loan'!$D$41/12,'30% Down Amortization'!$A336,360,'With Loan'!$D$40,0,0)</f>
        <v>101.69622346320467</v>
      </c>
      <c r="D336" s="4">
        <f t="shared" si="11"/>
        <v>1215.6460097854253</v>
      </c>
      <c r="E336" s="3">
        <f t="shared" si="10"/>
        <v>31428.84172190334</v>
      </c>
    </row>
    <row r="337" spans="1:5" x14ac:dyDescent="0.25">
      <c r="A337">
        <v>334</v>
      </c>
      <c r="B337" s="4">
        <f>-PPMT('With Loan'!$D$41/12,'30% Down Amortization'!$A337,360,'With Loan'!$D$40,0,0)</f>
        <v>1117.4308794044775</v>
      </c>
      <c r="C337" s="4">
        <f>-IPMT('With Loan'!$D$41/12,'30% Down Amortization'!$A337,360,'With Loan'!$D$40,0,0)</f>
        <v>98.215130380947741</v>
      </c>
      <c r="D337" s="4">
        <f t="shared" si="11"/>
        <v>1215.6460097854253</v>
      </c>
      <c r="E337" s="3">
        <f t="shared" si="10"/>
        <v>30311.410842498863</v>
      </c>
    </row>
    <row r="338" spans="1:5" x14ac:dyDescent="0.25">
      <c r="A338">
        <v>335</v>
      </c>
      <c r="B338" s="4">
        <f>-PPMT('With Loan'!$D$41/12,'30% Down Amortization'!$A338,360,'With Loan'!$D$40,0,0)</f>
        <v>1120.9228509026166</v>
      </c>
      <c r="C338" s="4">
        <f>-IPMT('With Loan'!$D$41/12,'30% Down Amortization'!$A338,360,'With Loan'!$D$40,0,0)</f>
        <v>94.723158882808747</v>
      </c>
      <c r="D338" s="4">
        <f t="shared" si="11"/>
        <v>1215.6460097854253</v>
      </c>
      <c r="E338" s="3">
        <f t="shared" si="10"/>
        <v>29190.487991596245</v>
      </c>
    </row>
    <row r="339" spans="1:5" x14ac:dyDescent="0.25">
      <c r="A339">
        <v>336</v>
      </c>
      <c r="B339" s="4">
        <f>-PPMT('With Loan'!$D$41/12,'30% Down Amortization'!$A339,360,'With Loan'!$D$40,0,0)</f>
        <v>1124.4257348116873</v>
      </c>
      <c r="C339" s="4">
        <f>-IPMT('With Loan'!$D$41/12,'30% Down Amortization'!$A339,360,'With Loan'!$D$40,0,0)</f>
        <v>91.220274973738057</v>
      </c>
      <c r="D339" s="4">
        <f t="shared" si="11"/>
        <v>1215.6460097854253</v>
      </c>
      <c r="E339" s="3">
        <f t="shared" si="10"/>
        <v>28066.062256784557</v>
      </c>
    </row>
    <row r="340" spans="1:5" x14ac:dyDescent="0.25">
      <c r="A340">
        <v>337</v>
      </c>
      <c r="B340" s="4">
        <f>-PPMT('With Loan'!$D$41/12,'30% Down Amortization'!$A340,360,'With Loan'!$D$40,0,0)</f>
        <v>1127.9395652329738</v>
      </c>
      <c r="C340" s="4">
        <f>-IPMT('With Loan'!$D$41/12,'30% Down Amortization'!$A340,360,'With Loan'!$D$40,0,0)</f>
        <v>87.706444552451529</v>
      </c>
      <c r="D340" s="4">
        <f t="shared" si="11"/>
        <v>1215.6460097854253</v>
      </c>
      <c r="E340" s="3">
        <f t="shared" si="10"/>
        <v>26938.122691551584</v>
      </c>
    </row>
    <row r="341" spans="1:5" x14ac:dyDescent="0.25">
      <c r="A341">
        <v>338</v>
      </c>
      <c r="B341" s="4">
        <f>-PPMT('With Loan'!$D$41/12,'30% Down Amortization'!$A341,360,'With Loan'!$D$40,0,0)</f>
        <v>1131.464376374327</v>
      </c>
      <c r="C341" s="4">
        <f>-IPMT('With Loan'!$D$41/12,'30% Down Amortization'!$A341,360,'With Loan'!$D$40,0,0)</f>
        <v>84.181633411098503</v>
      </c>
      <c r="D341" s="4">
        <f t="shared" si="11"/>
        <v>1215.6460097854256</v>
      </c>
      <c r="E341" s="3">
        <f t="shared" si="10"/>
        <v>25806.658315177257</v>
      </c>
    </row>
    <row r="342" spans="1:5" x14ac:dyDescent="0.25">
      <c r="A342">
        <v>339</v>
      </c>
      <c r="B342" s="4">
        <f>-PPMT('With Loan'!$D$41/12,'30% Down Amortization'!$A342,360,'With Loan'!$D$40,0,0)</f>
        <v>1135.0002025504966</v>
      </c>
      <c r="C342" s="4">
        <f>-IPMT('With Loan'!$D$41/12,'30% Down Amortization'!$A342,360,'With Loan'!$D$40,0,0)</f>
        <v>80.645807234928725</v>
      </c>
      <c r="D342" s="4">
        <f t="shared" si="11"/>
        <v>1215.6460097854253</v>
      </c>
      <c r="E342" s="3">
        <f t="shared" si="10"/>
        <v>24671.658112626759</v>
      </c>
    </row>
    <row r="343" spans="1:5" x14ac:dyDescent="0.25">
      <c r="A343">
        <v>340</v>
      </c>
      <c r="B343" s="4">
        <f>-PPMT('With Loan'!$D$41/12,'30% Down Amortization'!$A343,360,'With Loan'!$D$40,0,0)</f>
        <v>1138.547078183467</v>
      </c>
      <c r="C343" s="4">
        <f>-IPMT('With Loan'!$D$41/12,'30% Down Amortization'!$A343,360,'With Loan'!$D$40,0,0)</f>
        <v>77.098931601958427</v>
      </c>
      <c r="D343" s="4">
        <f t="shared" si="11"/>
        <v>1215.6460097854253</v>
      </c>
      <c r="E343" s="3">
        <f t="shared" si="10"/>
        <v>23533.111034443293</v>
      </c>
    </row>
    <row r="344" spans="1:5" x14ac:dyDescent="0.25">
      <c r="A344">
        <v>341</v>
      </c>
      <c r="B344" s="4">
        <f>-PPMT('With Loan'!$D$41/12,'30% Down Amortization'!$A344,360,'With Loan'!$D$40,0,0)</f>
        <v>1142.1050378027903</v>
      </c>
      <c r="C344" s="4">
        <f>-IPMT('With Loan'!$D$41/12,'30% Down Amortization'!$A344,360,'With Loan'!$D$40,0,0)</f>
        <v>73.540971982635085</v>
      </c>
      <c r="D344" s="4">
        <f t="shared" si="11"/>
        <v>1215.6460097854253</v>
      </c>
      <c r="E344" s="3">
        <f t="shared" si="10"/>
        <v>22391.005996640502</v>
      </c>
    </row>
    <row r="345" spans="1:5" x14ac:dyDescent="0.25">
      <c r="A345">
        <v>342</v>
      </c>
      <c r="B345" s="4">
        <f>-PPMT('With Loan'!$D$41/12,'30% Down Amortization'!$A345,360,'With Loan'!$D$40,0,0)</f>
        <v>1145.6741160459239</v>
      </c>
      <c r="C345" s="4">
        <f>-IPMT('With Loan'!$D$41/12,'30% Down Amortization'!$A345,360,'With Loan'!$D$40,0,0)</f>
        <v>69.971893739501368</v>
      </c>
      <c r="D345" s="4">
        <f t="shared" si="11"/>
        <v>1215.6460097854253</v>
      </c>
      <c r="E345" s="3">
        <f t="shared" si="10"/>
        <v>21245.331880594578</v>
      </c>
    </row>
    <row r="346" spans="1:5" x14ac:dyDescent="0.25">
      <c r="A346">
        <v>343</v>
      </c>
      <c r="B346" s="4">
        <f>-PPMT('With Loan'!$D$41/12,'30% Down Amortization'!$A346,360,'With Loan'!$D$40,0,0)</f>
        <v>1149.2543476585677</v>
      </c>
      <c r="C346" s="4">
        <f>-IPMT('With Loan'!$D$41/12,'30% Down Amortization'!$A346,360,'With Loan'!$D$40,0,0)</f>
        <v>66.391662126857852</v>
      </c>
      <c r="D346" s="4">
        <f t="shared" si="11"/>
        <v>1215.6460097854256</v>
      </c>
      <c r="E346" s="3">
        <f t="shared" si="10"/>
        <v>20096.077532936011</v>
      </c>
    </row>
    <row r="347" spans="1:5" x14ac:dyDescent="0.25">
      <c r="A347">
        <v>344</v>
      </c>
      <c r="B347" s="4">
        <f>-PPMT('With Loan'!$D$41/12,'30% Down Amortization'!$A347,360,'With Loan'!$D$40,0,0)</f>
        <v>1152.8457674950005</v>
      </c>
      <c r="C347" s="4">
        <f>-IPMT('With Loan'!$D$41/12,'30% Down Amortization'!$A347,360,'With Loan'!$D$40,0,0)</f>
        <v>62.800242290424826</v>
      </c>
      <c r="D347" s="4">
        <f t="shared" si="11"/>
        <v>1215.6460097854253</v>
      </c>
      <c r="E347" s="3">
        <f t="shared" si="10"/>
        <v>18943.231765441011</v>
      </c>
    </row>
    <row r="348" spans="1:5" x14ac:dyDescent="0.25">
      <c r="A348">
        <v>345</v>
      </c>
      <c r="B348" s="4">
        <f>-PPMT('With Loan'!$D$41/12,'30% Down Amortization'!$A348,360,'With Loan'!$D$40,0,0)</f>
        <v>1156.4484105184224</v>
      </c>
      <c r="C348" s="4">
        <f>-IPMT('With Loan'!$D$41/12,'30% Down Amortization'!$A348,360,'With Loan'!$D$40,0,0)</f>
        <v>59.19759926700295</v>
      </c>
      <c r="D348" s="4">
        <f t="shared" si="11"/>
        <v>1215.6460097854253</v>
      </c>
      <c r="E348" s="3">
        <f t="shared" si="10"/>
        <v>17786.783354922587</v>
      </c>
    </row>
    <row r="349" spans="1:5" x14ac:dyDescent="0.25">
      <c r="A349">
        <v>346</v>
      </c>
      <c r="B349" s="4">
        <f>-PPMT('With Loan'!$D$41/12,'30% Down Amortization'!$A349,360,'With Loan'!$D$40,0,0)</f>
        <v>1160.0623118012925</v>
      </c>
      <c r="C349" s="4">
        <f>-IPMT('With Loan'!$D$41/12,'30% Down Amortization'!$A349,360,'With Loan'!$D$40,0,0)</f>
        <v>55.58369798413289</v>
      </c>
      <c r="D349" s="4">
        <f t="shared" si="11"/>
        <v>1215.6460097854253</v>
      </c>
      <c r="E349" s="3">
        <f t="shared" si="10"/>
        <v>16626.721043121295</v>
      </c>
    </row>
    <row r="350" spans="1:5" x14ac:dyDescent="0.25">
      <c r="A350">
        <v>347</v>
      </c>
      <c r="B350" s="4">
        <f>-PPMT('With Loan'!$D$41/12,'30% Down Amortization'!$A350,360,'With Loan'!$D$40,0,0)</f>
        <v>1163.6875065256718</v>
      </c>
      <c r="C350" s="4">
        <f>-IPMT('With Loan'!$D$41/12,'30% Down Amortization'!$A350,360,'With Loan'!$D$40,0,0)</f>
        <v>51.958503259753847</v>
      </c>
      <c r="D350" s="4">
        <f t="shared" si="11"/>
        <v>1215.6460097854256</v>
      </c>
      <c r="E350" s="3">
        <f t="shared" si="10"/>
        <v>15463.033536595623</v>
      </c>
    </row>
    <row r="351" spans="1:5" x14ac:dyDescent="0.25">
      <c r="A351">
        <v>348</v>
      </c>
      <c r="B351" s="4">
        <f>-PPMT('With Loan'!$D$41/12,'30% Down Amortization'!$A351,360,'With Loan'!$D$40,0,0)</f>
        <v>1167.3240299835643</v>
      </c>
      <c r="C351" s="4">
        <f>-IPMT('With Loan'!$D$41/12,'30% Down Amortization'!$A351,360,'With Loan'!$D$40,0,0)</f>
        <v>48.321979801861126</v>
      </c>
      <c r="D351" s="4">
        <f t="shared" si="11"/>
        <v>1215.6460097854253</v>
      </c>
      <c r="E351" s="3">
        <f t="shared" si="10"/>
        <v>14295.70950661206</v>
      </c>
    </row>
    <row r="352" spans="1:5" x14ac:dyDescent="0.25">
      <c r="A352">
        <v>349</v>
      </c>
      <c r="B352" s="4">
        <f>-PPMT('With Loan'!$D$41/12,'30% Down Amortization'!$A352,360,'With Loan'!$D$40,0,0)</f>
        <v>1170.971917577263</v>
      </c>
      <c r="C352" s="4">
        <f>-IPMT('With Loan'!$D$41/12,'30% Down Amortization'!$A352,360,'With Loan'!$D$40,0,0)</f>
        <v>44.674092208162477</v>
      </c>
      <c r="D352" s="4">
        <f t="shared" si="11"/>
        <v>1215.6460097854253</v>
      </c>
      <c r="E352" s="3">
        <f t="shared" si="10"/>
        <v>13124.737589034798</v>
      </c>
    </row>
    <row r="353" spans="1:5" x14ac:dyDescent="0.25">
      <c r="A353">
        <v>350</v>
      </c>
      <c r="B353" s="4">
        <f>-PPMT('With Loan'!$D$41/12,'30% Down Amortization'!$A353,360,'With Loan'!$D$40,0,0)</f>
        <v>1174.6312048196917</v>
      </c>
      <c r="C353" s="4">
        <f>-IPMT('With Loan'!$D$41/12,'30% Down Amortization'!$A353,360,'With Loan'!$D$40,0,0)</f>
        <v>41.014804965733539</v>
      </c>
      <c r="D353" s="4">
        <f t="shared" si="11"/>
        <v>1215.6460097854251</v>
      </c>
      <c r="E353" s="3">
        <f t="shared" si="10"/>
        <v>11950.106384215105</v>
      </c>
    </row>
    <row r="354" spans="1:5" x14ac:dyDescent="0.25">
      <c r="A354">
        <v>351</v>
      </c>
      <c r="B354" s="4">
        <f>-PPMT('With Loan'!$D$41/12,'30% Down Amortization'!$A354,360,'With Loan'!$D$40,0,0)</f>
        <v>1178.3019273347534</v>
      </c>
      <c r="C354" s="4">
        <f>-IPMT('With Loan'!$D$41/12,'30% Down Amortization'!$A354,360,'With Loan'!$D$40,0,0)</f>
        <v>37.344082450672005</v>
      </c>
      <c r="D354" s="4">
        <f t="shared" si="11"/>
        <v>1215.6460097854253</v>
      </c>
      <c r="E354" s="3">
        <f t="shared" ref="E354:E363" si="12">E353-B354</f>
        <v>10771.804456880353</v>
      </c>
    </row>
    <row r="355" spans="1:5" x14ac:dyDescent="0.25">
      <c r="A355">
        <v>352</v>
      </c>
      <c r="B355" s="4">
        <f>-PPMT('With Loan'!$D$41/12,'30% Down Amortization'!$A355,360,'With Loan'!$D$40,0,0)</f>
        <v>1181.9841208576745</v>
      </c>
      <c r="C355" s="4">
        <f>-IPMT('With Loan'!$D$41/12,'30% Down Amortization'!$A355,360,'With Loan'!$D$40,0,0)</f>
        <v>33.661888927750894</v>
      </c>
      <c r="D355" s="4">
        <f t="shared" si="11"/>
        <v>1215.6460097854253</v>
      </c>
      <c r="E355" s="3">
        <f t="shared" si="12"/>
        <v>9589.820336022678</v>
      </c>
    </row>
    <row r="356" spans="1:5" x14ac:dyDescent="0.25">
      <c r="A356">
        <v>353</v>
      </c>
      <c r="B356" s="4">
        <f>-PPMT('With Loan'!$D$41/12,'30% Down Amortization'!$A356,360,'With Loan'!$D$40,0,0)</f>
        <v>1185.6778212353547</v>
      </c>
      <c r="C356" s="4">
        <f>-IPMT('With Loan'!$D$41/12,'30% Down Amortization'!$A356,360,'With Loan'!$D$40,0,0)</f>
        <v>29.968188550070661</v>
      </c>
      <c r="D356" s="4">
        <f t="shared" si="11"/>
        <v>1215.6460097854253</v>
      </c>
      <c r="E356" s="3">
        <f t="shared" si="12"/>
        <v>8404.1425147873233</v>
      </c>
    </row>
    <row r="357" spans="1:5" x14ac:dyDescent="0.25">
      <c r="A357">
        <v>354</v>
      </c>
      <c r="B357" s="4">
        <f>-PPMT('With Loan'!$D$41/12,'30% Down Amortization'!$A357,360,'With Loan'!$D$40,0,0)</f>
        <v>1189.3830644267152</v>
      </c>
      <c r="C357" s="4">
        <f>-IPMT('With Loan'!$D$41/12,'30% Down Amortization'!$A357,360,'With Loan'!$D$40,0,0)</f>
        <v>26.26294535871018</v>
      </c>
      <c r="D357" s="4">
        <f t="shared" si="11"/>
        <v>1215.6460097854253</v>
      </c>
      <c r="E357" s="3">
        <f t="shared" si="12"/>
        <v>7214.7594503606078</v>
      </c>
    </row>
    <row r="358" spans="1:5" x14ac:dyDescent="0.25">
      <c r="A358">
        <v>355</v>
      </c>
      <c r="B358" s="4">
        <f>-PPMT('With Loan'!$D$41/12,'30% Down Amortization'!$A358,360,'With Loan'!$D$40,0,0)</f>
        <v>1193.0998865030488</v>
      </c>
      <c r="C358" s="4">
        <f>-IPMT('With Loan'!$D$41/12,'30% Down Amortization'!$A358,360,'With Loan'!$D$40,0,0)</f>
        <v>22.546123282376694</v>
      </c>
      <c r="D358" s="4">
        <f t="shared" si="11"/>
        <v>1215.6460097854253</v>
      </c>
      <c r="E358" s="3">
        <f t="shared" si="12"/>
        <v>6021.6595638575591</v>
      </c>
    </row>
    <row r="359" spans="1:5" x14ac:dyDescent="0.25">
      <c r="A359">
        <v>356</v>
      </c>
      <c r="B359" s="4">
        <f>-PPMT('With Loan'!$D$41/12,'30% Down Amortization'!$A359,360,'With Loan'!$D$40,0,0)</f>
        <v>1196.8283236483708</v>
      </c>
      <c r="C359" s="4">
        <f>-IPMT('With Loan'!$D$41/12,'30% Down Amortization'!$A359,360,'With Loan'!$D$40,0,0)</f>
        <v>18.817686137054668</v>
      </c>
      <c r="D359" s="4">
        <f t="shared" si="11"/>
        <v>1215.6460097854253</v>
      </c>
      <c r="E359" s="3">
        <f t="shared" si="12"/>
        <v>4824.8312402091888</v>
      </c>
    </row>
    <row r="360" spans="1:5" x14ac:dyDescent="0.25">
      <c r="A360">
        <v>357</v>
      </c>
      <c r="B360" s="4">
        <f>-PPMT('With Loan'!$D$41/12,'30% Down Amortization'!$A360,360,'With Loan'!$D$40,0,0)</f>
        <v>1200.5684121597719</v>
      </c>
      <c r="C360" s="4">
        <f>-IPMT('With Loan'!$D$41/12,'30% Down Amortization'!$A360,360,'With Loan'!$D$40,0,0)</f>
        <v>15.077597625653512</v>
      </c>
      <c r="D360" s="4">
        <f t="shared" si="11"/>
        <v>1215.6460097854253</v>
      </c>
      <c r="E360" s="3">
        <f t="shared" si="12"/>
        <v>3624.2628280494168</v>
      </c>
    </row>
    <row r="361" spans="1:5" x14ac:dyDescent="0.25">
      <c r="A361">
        <v>358</v>
      </c>
      <c r="B361" s="4">
        <f>-PPMT('With Loan'!$D$41/12,'30% Down Amortization'!$A361,360,'With Loan'!$D$40,0,0)</f>
        <v>1204.3201884477712</v>
      </c>
      <c r="C361" s="4">
        <f>-IPMT('With Loan'!$D$41/12,'30% Down Amortization'!$A361,360,'With Loan'!$D$40,0,0)</f>
        <v>11.325821337654224</v>
      </c>
      <c r="D361" s="4">
        <f t="shared" si="11"/>
        <v>1215.6460097854253</v>
      </c>
      <c r="E361" s="3">
        <f t="shared" si="12"/>
        <v>2419.9426396016456</v>
      </c>
    </row>
    <row r="362" spans="1:5" x14ac:dyDescent="0.25">
      <c r="A362">
        <v>359</v>
      </c>
      <c r="B362" s="4">
        <f>-PPMT('With Loan'!$D$41/12,'30% Down Amortization'!$A362,360,'With Loan'!$D$40,0,0)</f>
        <v>1208.0836890366704</v>
      </c>
      <c r="C362" s="4">
        <f>-IPMT('With Loan'!$D$41/12,'30% Down Amortization'!$A362,360,'With Loan'!$D$40,0,0)</f>
        <v>7.5623207487549369</v>
      </c>
      <c r="D362" s="4">
        <f t="shared" si="11"/>
        <v>1215.6460097854253</v>
      </c>
      <c r="E362" s="3">
        <f t="shared" si="12"/>
        <v>1211.8589505649752</v>
      </c>
    </row>
    <row r="363" spans="1:5" x14ac:dyDescent="0.25">
      <c r="A363">
        <v>360</v>
      </c>
      <c r="B363" s="4">
        <f>-PPMT('With Loan'!$D$41/12,'30% Down Amortization'!$A363,360,'With Loan'!$D$40,0,0)</f>
        <v>1211.8589505649099</v>
      </c>
      <c r="C363" s="4">
        <f>-IPMT('With Loan'!$D$41/12,'30% Down Amortization'!$A363,360,'With Loan'!$D$40,0,0)</f>
        <v>3.7870592205153439</v>
      </c>
      <c r="D363" s="4">
        <f t="shared" si="11"/>
        <v>1215.6460097854253</v>
      </c>
      <c r="E363" s="3">
        <f t="shared" si="12"/>
        <v>6.5256244852207601E-11</v>
      </c>
    </row>
  </sheetData>
  <sheetProtection algorithmName="SHA-512" hashValue="eN2M69IgExmqdA6292O9JyWvXwiKhotCCTGe2CZcEW4tenJhwcGGXj+CMM/W23PNLANj/hW4hlyTDtXfjHQk8g==" saltValue="0U48QsPD6q3TBM1dMinshg==" spinCount="100000" sheet="1" objects="1" scenarios="1"/>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69DB59EED59A4B9D2A41DA9F049753" ma:contentTypeVersion="18" ma:contentTypeDescription="Create a new document." ma:contentTypeScope="" ma:versionID="427896d9fba3ae73bcfd0e1792e22175">
  <xsd:schema xmlns:xsd="http://www.w3.org/2001/XMLSchema" xmlns:xs="http://www.w3.org/2001/XMLSchema" xmlns:p="http://schemas.microsoft.com/office/2006/metadata/properties" xmlns:ns2="b9c8e6ef-adaa-44cf-b33b-1c02ae1fb283" xmlns:ns3="805d0126-7d6a-4874-a9c2-f0732c30a516" targetNamespace="http://schemas.microsoft.com/office/2006/metadata/properties" ma:root="true" ma:fieldsID="4dd0f8f1fce6ed585eb5a14541ba8547" ns2:_="" ns3:_="">
    <xsd:import namespace="b9c8e6ef-adaa-44cf-b33b-1c02ae1fb283"/>
    <xsd:import namespace="805d0126-7d6a-4874-a9c2-f0732c30a5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8e6ef-adaa-44cf-b33b-1c02ae1fb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a262b3-c911-4d7a-9ca6-09044c850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5d0126-7d6a-4874-a9c2-f0732c30a5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01e4632-65b1-419a-abf9-7aa14e6fdc28}" ma:internalName="TaxCatchAll" ma:showField="CatchAllData" ma:web="805d0126-7d6a-4874-a9c2-f0732c30a51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c8e6ef-adaa-44cf-b33b-1c02ae1fb283">
      <Terms xmlns="http://schemas.microsoft.com/office/infopath/2007/PartnerControls"/>
    </lcf76f155ced4ddcb4097134ff3c332f>
    <TaxCatchAll xmlns="805d0126-7d6a-4874-a9c2-f0732c30a516" xsi:nil="true"/>
  </documentManagement>
</p:properties>
</file>

<file path=customXml/itemProps1.xml><?xml version="1.0" encoding="utf-8"?>
<ds:datastoreItem xmlns:ds="http://schemas.openxmlformats.org/officeDocument/2006/customXml" ds:itemID="{9B2910A0-1CC7-418C-9428-8048FEFCA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8e6ef-adaa-44cf-b33b-1c02ae1fb283"/>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53417-07D2-4AAC-920E-09C8248A92AC}">
  <ds:schemaRefs>
    <ds:schemaRef ds:uri="http://schemas.microsoft.com/sharepoint/v3/contenttype/forms"/>
  </ds:schemaRefs>
</ds:datastoreItem>
</file>

<file path=customXml/itemProps3.xml><?xml version="1.0" encoding="utf-8"?>
<ds:datastoreItem xmlns:ds="http://schemas.openxmlformats.org/officeDocument/2006/customXml" ds:itemID="{C132D972-31B8-466B-822A-61C798CAA031}">
  <ds:schemaRefs>
    <ds:schemaRef ds:uri="http://schemas.openxmlformats.org/package/2006/metadata/core-properties"/>
    <ds:schemaRef ds:uri="http://schemas.microsoft.com/office/2006/metadata/properties"/>
    <ds:schemaRef ds:uri="b9c8e6ef-adaa-44cf-b33b-1c02ae1fb283"/>
    <ds:schemaRef ds:uri="http://purl.org/dc/dcmitype/"/>
    <ds:schemaRef ds:uri="805d0126-7d6a-4874-a9c2-f0732c30a516"/>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Summary</vt:lpstr>
      <vt:lpstr>All Cash</vt:lpstr>
      <vt:lpstr>With Loan</vt:lpstr>
      <vt:lpstr>Owner Occupier</vt:lpstr>
      <vt:lpstr>Closing Costs</vt:lpstr>
      <vt:lpstr>FHA Amotization</vt:lpstr>
      <vt:lpstr>DAta</vt:lpstr>
      <vt:lpstr>30% Down Amortization</vt:lpstr>
      <vt:lpstr>'All Cash'!Print_Area</vt:lpstr>
      <vt:lpstr>'Owner Occupier'!Print_Area</vt:lpstr>
      <vt:lpstr>'With Loan'!Print_Area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Flanagin</dc:creator>
  <cp:keywords/>
  <dc:description/>
  <cp:lastModifiedBy>Martin Rico</cp:lastModifiedBy>
  <cp:revision/>
  <cp:lastPrinted>2025-07-07T21:42:30Z</cp:lastPrinted>
  <dcterms:created xsi:type="dcterms:W3CDTF">2025-02-11T03:30:30Z</dcterms:created>
  <dcterms:modified xsi:type="dcterms:W3CDTF">2025-07-07T22:38:48Z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0x010100F169DB59EED59A4B9D2A41DA9F049753</vt:lpwstr>
  </property>
  <property fmtid="{D5CDD505-2E9C-101B-9397-08002B2CF9AE}" pid="3" name="MediaServiceImageTags">
    <vt:lpwstr/>
  </property>
</Properties>
</file>