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codeName="ThisWorkbook"/>
  <mc:AlternateContent xmlns:mc="http://schemas.openxmlformats.org/markup-compatibility/2006">
    <mc:Choice Requires="x15">
      <x15ac:absPath xmlns:x15ac="http://schemas.microsoft.com/office/spreadsheetml/2010/11/ac" url="https://rosehavenhomesusa.sharepoint.com/sites/SalesGroup/Shared Documents/Reports/Financial Calculator/Magnolia Village North/"/>
    </mc:Choice>
  </mc:AlternateContent>
  <xr:revisionPtr revIDLastSave="0" documentId="8_{2F3A16C3-4058-4B3B-AC04-68854D6C4D91}" xr6:coauthVersionLast="47" xr6:coauthVersionMax="47" xr10:uidLastSave="{00000000-0000-0000-0000-000000000000}"/>
  <bookViews>
    <workbookView xWindow="43080" yWindow="-120" windowWidth="29040" windowHeight="15720" tabRatio="654" xr2:uid="{6086E9DB-5E13-46D6-AE57-AADA5638DA8C}"/>
  </bookViews>
  <sheets>
    <sheet name="Summary" sheetId="12" r:id="rId1"/>
    <sheet name="All Cash" sheetId="8" r:id="rId2"/>
    <sheet name="With Loan" sheetId="6" r:id="rId3"/>
    <sheet name="Owner Occupier" sheetId="10" r:id="rId4"/>
    <sheet name="Closing Costs" sheetId="3" state="hidden" r:id="rId5"/>
    <sheet name="FHA Amotization" sheetId="11" state="hidden" r:id="rId6"/>
    <sheet name="DAta" sheetId="2" state="hidden" r:id="rId7"/>
    <sheet name="30% Down Amortization" sheetId="4" state="hidden" r:id="rId8"/>
  </sheets>
  <definedNames>
    <definedName name="_xlnm._FilterDatabase" localSheetId="7" hidden="1">'30% Down Amortization'!#REF!</definedName>
    <definedName name="_xlnm._FilterDatabase" localSheetId="5" hidden="1">'FHA Amotization'!#REF!</definedName>
    <definedName name="_xlnm.Print_Area" localSheetId="1">'All Cash'!$B$1:$I$59</definedName>
    <definedName name="_xlnm.Print_Area" localSheetId="3">'Owner Occupier'!$B$1:$I$60</definedName>
    <definedName name="_xlnm.Print_Area" localSheetId="2">'With Loan'!$B$1:$I$59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12" l="1"/>
  <c r="C35" i="6"/>
  <c r="H31" i="8"/>
  <c r="Q35" i="8"/>
  <c r="H30" i="10"/>
  <c r="Q35" i="10"/>
  <c r="E35" i="12"/>
  <c r="E36" i="12"/>
  <c r="D35" i="12"/>
  <c r="D36" i="12"/>
  <c r="C35" i="12"/>
  <c r="C33" i="12"/>
  <c r="D34" i="10"/>
  <c r="I41" i="10"/>
  <c r="H31" i="10"/>
  <c r="G32" i="10"/>
  <c r="H24" i="10"/>
  <c r="D55" i="10"/>
  <c r="E55" i="10"/>
  <c r="D41" i="10"/>
  <c r="C35" i="10"/>
  <c r="D24" i="10"/>
  <c r="H32" i="6"/>
  <c r="G33" i="6"/>
  <c r="H31" i="6"/>
  <c r="H24" i="6"/>
  <c r="H25" i="6"/>
  <c r="D41" i="6"/>
  <c r="D34" i="6"/>
  <c r="D46" i="6"/>
  <c r="H32" i="8"/>
  <c r="H24" i="8"/>
  <c r="I24" i="8"/>
  <c r="D34" i="8"/>
  <c r="D35" i="8" s="1"/>
  <c r="D38" i="8" s="1"/>
  <c r="D51" i="10"/>
  <c r="E51" i="10"/>
  <c r="E48" i="10"/>
  <c r="D42" i="8"/>
  <c r="E42" i="8"/>
  <c r="E41" i="8"/>
  <c r="Y17" i="6"/>
  <c r="Y35" i="6"/>
  <c r="Y33" i="6"/>
  <c r="Y16" i="6"/>
  <c r="Y7" i="6"/>
  <c r="Y18" i="6"/>
  <c r="Y34" i="6"/>
  <c r="Y32" i="6"/>
  <c r="Y15" i="6"/>
  <c r="Y23" i="6"/>
  <c r="Y31" i="6"/>
  <c r="Y14" i="6"/>
  <c r="Y24" i="6"/>
  <c r="Y22" i="6"/>
  <c r="Y19" i="6"/>
  <c r="Y30" i="6"/>
  <c r="Y13" i="6"/>
  <c r="Y29" i="6"/>
  <c r="Y12" i="6"/>
  <c r="Y20" i="6"/>
  <c r="Y28" i="6"/>
  <c r="Y10" i="6"/>
  <c r="Y26" i="6"/>
  <c r="Y9" i="6"/>
  <c r="Y36" i="6"/>
  <c r="Y11" i="6"/>
  <c r="Y27" i="6"/>
  <c r="Y25" i="6"/>
  <c r="Y8" i="6"/>
  <c r="D53" i="10"/>
  <c r="E53" i="10"/>
  <c r="D46" i="10"/>
  <c r="E46" i="10" s="1"/>
  <c r="Z23" i="6"/>
  <c r="Z24" i="6"/>
  <c r="Z25" i="6"/>
  <c r="Z35" i="6"/>
  <c r="Z26" i="6"/>
  <c r="Z27" i="6"/>
  <c r="Z28" i="6"/>
  <c r="Z29" i="6"/>
  <c r="Z30" i="6"/>
  <c r="Z31" i="6"/>
  <c r="Z22" i="6"/>
  <c r="Z32" i="6"/>
  <c r="Z33" i="6"/>
  <c r="Z34" i="6"/>
  <c r="Z36" i="6"/>
  <c r="Z31" i="8"/>
  <c r="Z30" i="8"/>
  <c r="Z29" i="8"/>
  <c r="Z28" i="8"/>
  <c r="Z27" i="8"/>
  <c r="Z26" i="8"/>
  <c r="Z22" i="8"/>
  <c r="Y7" i="8"/>
  <c r="Y36" i="8"/>
  <c r="Y35" i="8"/>
  <c r="Y26" i="8"/>
  <c r="Y25" i="8"/>
  <c r="Y23" i="8"/>
  <c r="Y15" i="8"/>
  <c r="Y24" i="8"/>
  <c r="Y22" i="8"/>
  <c r="Y17" i="8"/>
  <c r="Y14" i="8"/>
  <c r="Y16" i="8"/>
  <c r="Z32" i="8"/>
  <c r="Y13" i="8"/>
  <c r="Y34" i="8"/>
  <c r="Y33" i="8"/>
  <c r="Y28" i="8"/>
  <c r="Y27" i="8"/>
  <c r="Y19" i="8"/>
  <c r="Z25" i="8"/>
  <c r="Y20" i="8"/>
  <c r="Z24" i="8"/>
  <c r="Z23" i="8"/>
  <c r="Y18" i="8"/>
  <c r="Y12" i="8"/>
  <c r="Z36" i="8"/>
  <c r="Y32" i="8"/>
  <c r="Y11" i="8"/>
  <c r="Z35" i="8"/>
  <c r="Y31" i="8"/>
  <c r="Y10" i="8"/>
  <c r="Z34" i="8"/>
  <c r="Y30" i="8"/>
  <c r="Y9" i="8"/>
  <c r="Z33" i="8"/>
  <c r="Y29" i="8"/>
  <c r="Y8" i="8"/>
  <c r="G33" i="8"/>
  <c r="Q17" i="10"/>
  <c r="Q14" i="10"/>
  <c r="Q15" i="10"/>
  <c r="Q32" i="10"/>
  <c r="R16" i="10"/>
  <c r="R8" i="10"/>
  <c r="V8" i="10" s="1"/>
  <c r="Q36" i="8"/>
  <c r="R32" i="10"/>
  <c r="Q36" i="10"/>
  <c r="Q10" i="10"/>
  <c r="C36" i="12"/>
  <c r="Q16" i="10"/>
  <c r="Q33" i="10"/>
  <c r="Q7" i="8"/>
  <c r="Q18" i="10"/>
  <c r="Q11" i="8"/>
  <c r="Q19" i="10"/>
  <c r="Q15" i="8"/>
  <c r="Q20" i="10"/>
  <c r="Q21" i="8"/>
  <c r="Q7" i="10"/>
  <c r="Q22" i="10"/>
  <c r="Q22" i="8"/>
  <c r="Q8" i="10"/>
  <c r="Q23" i="10"/>
  <c r="Q19" i="8"/>
  <c r="Q21" i="10"/>
  <c r="Q23" i="8"/>
  <c r="Q9" i="10"/>
  <c r="Q24" i="10"/>
  <c r="Q30" i="8"/>
  <c r="Q12" i="10"/>
  <c r="Q26" i="10"/>
  <c r="Q26" i="8"/>
  <c r="Q11" i="10"/>
  <c r="Q25" i="10"/>
  <c r="Q34" i="8"/>
  <c r="Q13" i="10"/>
  <c r="Q28" i="10"/>
  <c r="D35" i="10"/>
  <c r="H32" i="10"/>
  <c r="E22" i="12"/>
  <c r="Q27" i="10"/>
  <c r="Q29" i="10"/>
  <c r="Q30" i="10"/>
  <c r="Q31" i="10"/>
  <c r="Q34" i="10"/>
  <c r="R34" i="10"/>
  <c r="Q24" i="8"/>
  <c r="Q9" i="8"/>
  <c r="Q8" i="8"/>
  <c r="Q10" i="8"/>
  <c r="Q25" i="8"/>
  <c r="Q12" i="8"/>
  <c r="Q27" i="8"/>
  <c r="Q13" i="8"/>
  <c r="Q28" i="8"/>
  <c r="Q14" i="8"/>
  <c r="Q29" i="8"/>
  <c r="Q16" i="8"/>
  <c r="Q17" i="8"/>
  <c r="Q32" i="8"/>
  <c r="Q31" i="8"/>
  <c r="Q18" i="8"/>
  <c r="Q33" i="8"/>
  <c r="Q20" i="8"/>
  <c r="H25" i="8"/>
  <c r="R29" i="10"/>
  <c r="R14" i="10"/>
  <c r="R31" i="10"/>
  <c r="R10" i="10"/>
  <c r="R26" i="10"/>
  <c r="R36" i="10"/>
  <c r="R22" i="10"/>
  <c r="R20" i="10"/>
  <c r="R18" i="10"/>
  <c r="R12" i="10"/>
  <c r="D54" i="10"/>
  <c r="R35" i="10"/>
  <c r="R7" i="10"/>
  <c r="T29" i="10" s="1"/>
  <c r="R11" i="10"/>
  <c r="R15" i="10"/>
  <c r="V15" i="10" s="1"/>
  <c r="R19" i="10"/>
  <c r="V19" i="10" s="1"/>
  <c r="R23" i="10"/>
  <c r="V23" i="10" s="1"/>
  <c r="R30" i="10"/>
  <c r="V30" i="10" s="1"/>
  <c r="I24" i="10"/>
  <c r="R33" i="10"/>
  <c r="V33" i="10" s="1"/>
  <c r="R28" i="10"/>
  <c r="R9" i="10"/>
  <c r="R13" i="10"/>
  <c r="R17" i="10"/>
  <c r="R21" i="10"/>
  <c r="R25" i="10"/>
  <c r="R27" i="10"/>
  <c r="R24" i="10"/>
  <c r="I48" i="6"/>
  <c r="Q7" i="6"/>
  <c r="Q8" i="6"/>
  <c r="Q9" i="6"/>
  <c r="Q10" i="6"/>
  <c r="Q11" i="6"/>
  <c r="Q12" i="6"/>
  <c r="Q13" i="6"/>
  <c r="Q14" i="6"/>
  <c r="Q15" i="6"/>
  <c r="Q16" i="6"/>
  <c r="Q17" i="6"/>
  <c r="Q18" i="6"/>
  <c r="Q19" i="6"/>
  <c r="Q20" i="6"/>
  <c r="Q21" i="6"/>
  <c r="Q22" i="6"/>
  <c r="Q23" i="6"/>
  <c r="Q24" i="6"/>
  <c r="Q25" i="6"/>
  <c r="Q26" i="6"/>
  <c r="Q27" i="6"/>
  <c r="Q28" i="6"/>
  <c r="Q29" i="6"/>
  <c r="Q30" i="6"/>
  <c r="Q31" i="6"/>
  <c r="Q32" i="6"/>
  <c r="Q33" i="6"/>
  <c r="Q34" i="6"/>
  <c r="Q35" i="6"/>
  <c r="Q36" i="6"/>
  <c r="D46" i="8"/>
  <c r="E46" i="8"/>
  <c r="D44" i="8"/>
  <c r="E44" i="8"/>
  <c r="D45" i="8"/>
  <c r="E45" i="8"/>
  <c r="I25" i="8"/>
  <c r="D40" i="10"/>
  <c r="C105" i="11" s="1"/>
  <c r="E54" i="10"/>
  <c r="D52" i="10"/>
  <c r="T24" i="10"/>
  <c r="T22" i="10"/>
  <c r="T20" i="10"/>
  <c r="V20" i="10" s="1"/>
  <c r="T18" i="10"/>
  <c r="T16" i="10"/>
  <c r="T14" i="10"/>
  <c r="T12" i="10"/>
  <c r="T10" i="10"/>
  <c r="V10" i="10" s="1"/>
  <c r="T8" i="10"/>
  <c r="T17" i="10"/>
  <c r="T11" i="10"/>
  <c r="T23" i="10"/>
  <c r="T15" i="10"/>
  <c r="T7" i="10"/>
  <c r="T35" i="10"/>
  <c r="T33" i="10"/>
  <c r="T25" i="10"/>
  <c r="V25" i="10" s="1"/>
  <c r="T30" i="10"/>
  <c r="T19" i="10"/>
  <c r="T13" i="10"/>
  <c r="T9" i="10"/>
  <c r="T26" i="10"/>
  <c r="T31" i="10"/>
  <c r="D25" i="10"/>
  <c r="D50" i="6"/>
  <c r="E50" i="6"/>
  <c r="I24" i="6"/>
  <c r="E47" i="6"/>
  <c r="C19" i="3"/>
  <c r="A8" i="3"/>
  <c r="C6" i="3"/>
  <c r="C16" i="3"/>
  <c r="E52" i="10"/>
  <c r="D52" i="6"/>
  <c r="E52" i="6"/>
  <c r="D25" i="8"/>
  <c r="C18" i="12"/>
  <c r="V24" i="10"/>
  <c r="V13" i="10"/>
  <c r="V22" i="10"/>
  <c r="V7" i="10"/>
  <c r="V35" i="10"/>
  <c r="D43" i="8"/>
  <c r="E18" i="12"/>
  <c r="B145" i="11"/>
  <c r="C146" i="11"/>
  <c r="B201" i="11"/>
  <c r="B213" i="11"/>
  <c r="C214" i="11"/>
  <c r="B265" i="11"/>
  <c r="D265" i="11" s="1"/>
  <c r="C314" i="11"/>
  <c r="D314" i="11" s="1"/>
  <c r="B127" i="11"/>
  <c r="C127" i="11"/>
  <c r="C128" i="11"/>
  <c r="B129" i="11"/>
  <c r="B323" i="11"/>
  <c r="D323" i="11" s="1"/>
  <c r="B306" i="11"/>
  <c r="B187" i="11"/>
  <c r="B164" i="11"/>
  <c r="C46" i="11"/>
  <c r="D46" i="11" s="1"/>
  <c r="B106" i="11"/>
  <c r="D106" i="11" s="1"/>
  <c r="C25" i="11"/>
  <c r="C164" i="11"/>
  <c r="C251" i="11"/>
  <c r="C24" i="11"/>
  <c r="C168" i="11"/>
  <c r="D168" i="11" s="1"/>
  <c r="C288" i="11"/>
  <c r="D288" i="11" s="1"/>
  <c r="C66" i="11"/>
  <c r="B48" i="11"/>
  <c r="D48" i="11" s="1"/>
  <c r="B179" i="11"/>
  <c r="C170" i="11"/>
  <c r="C340" i="11"/>
  <c r="D340" i="11" s="1"/>
  <c r="B11" i="11"/>
  <c r="B112" i="11"/>
  <c r="B272" i="11"/>
  <c r="C62" i="11"/>
  <c r="C222" i="11"/>
  <c r="B23" i="11"/>
  <c r="C93" i="11"/>
  <c r="C253" i="11"/>
  <c r="C298" i="11"/>
  <c r="C77" i="11"/>
  <c r="B284" i="11"/>
  <c r="C111" i="11"/>
  <c r="B10" i="11"/>
  <c r="C161" i="11"/>
  <c r="C277" i="11"/>
  <c r="B20" i="11"/>
  <c r="C202" i="11"/>
  <c r="B103" i="11"/>
  <c r="B216" i="11"/>
  <c r="B350" i="11"/>
  <c r="D350" i="11" s="1"/>
  <c r="C256" i="11"/>
  <c r="C147" i="11"/>
  <c r="B148" i="11"/>
  <c r="C148" i="11"/>
  <c r="B149" i="11"/>
  <c r="B8" i="11"/>
  <c r="B341" i="11"/>
  <c r="B324" i="11"/>
  <c r="D324" i="11" s="1"/>
  <c r="C209" i="11"/>
  <c r="B211" i="11"/>
  <c r="B311" i="11"/>
  <c r="D311" i="11" s="1"/>
  <c r="B235" i="11"/>
  <c r="C91" i="11"/>
  <c r="B237" i="11"/>
  <c r="B94" i="11"/>
  <c r="B238" i="11"/>
  <c r="C7" i="11"/>
  <c r="C155" i="11"/>
  <c r="B276" i="11"/>
  <c r="C49" i="11"/>
  <c r="C18" i="11"/>
  <c r="C34" i="11"/>
  <c r="D34" i="11" s="1"/>
  <c r="B166" i="11"/>
  <c r="C180" i="11"/>
  <c r="C350" i="11"/>
  <c r="B71" i="11"/>
  <c r="B122" i="11"/>
  <c r="B282" i="11"/>
  <c r="C72" i="11"/>
  <c r="C232" i="11"/>
  <c r="B33" i="11"/>
  <c r="C103" i="11"/>
  <c r="C263" i="11"/>
  <c r="B286" i="11"/>
  <c r="B64" i="11"/>
  <c r="C266" i="11"/>
  <c r="C116" i="11"/>
  <c r="C89" i="11"/>
  <c r="C291" i="11"/>
  <c r="B209" i="11"/>
  <c r="C95" i="11"/>
  <c r="C140" i="11"/>
  <c r="B242" i="11"/>
  <c r="S17" i="10"/>
  <c r="C76" i="11"/>
  <c r="B288" i="11"/>
  <c r="C42" i="11"/>
  <c r="B105" i="11"/>
  <c r="D105" i="11" s="1"/>
  <c r="B143" i="11"/>
  <c r="C81" i="11"/>
  <c r="C270" i="11"/>
  <c r="D270" i="11" s="1"/>
  <c r="C274" i="11"/>
  <c r="C174" i="11"/>
  <c r="B175" i="11"/>
  <c r="C175" i="11"/>
  <c r="B176" i="11"/>
  <c r="B29" i="11"/>
  <c r="C8" i="11"/>
  <c r="C359" i="11"/>
  <c r="C344" i="11"/>
  <c r="C285" i="11"/>
  <c r="B268" i="11"/>
  <c r="C249" i="11"/>
  <c r="C228" i="11"/>
  <c r="B229" i="11"/>
  <c r="C121" i="11"/>
  <c r="C101" i="11"/>
  <c r="C131" i="11"/>
  <c r="D131" i="11" s="1"/>
  <c r="B174" i="11"/>
  <c r="D174" i="11" s="1"/>
  <c r="C225" i="11"/>
  <c r="C356" i="11"/>
  <c r="C139" i="11"/>
  <c r="B263" i="11"/>
  <c r="D263" i="11" s="1"/>
  <c r="B36" i="11"/>
  <c r="B5" i="11"/>
  <c r="B247" i="11"/>
  <c r="C17" i="11"/>
  <c r="C151" i="11"/>
  <c r="B60" i="11"/>
  <c r="D60" i="11" s="1"/>
  <c r="B220" i="11"/>
  <c r="C20" i="11"/>
  <c r="C190" i="11"/>
  <c r="C360" i="11"/>
  <c r="B111" i="11"/>
  <c r="D111" i="11" s="1"/>
  <c r="B132" i="11"/>
  <c r="B292" i="11"/>
  <c r="C82" i="11"/>
  <c r="B43" i="11"/>
  <c r="C113" i="11"/>
  <c r="C273" i="11"/>
  <c r="B273" i="11"/>
  <c r="B47" i="11"/>
  <c r="B56" i="11"/>
  <c r="B77" i="11"/>
  <c r="B277" i="11"/>
  <c r="C48" i="11"/>
  <c r="B252" i="11"/>
  <c r="B227" i="11"/>
  <c r="C265" i="11"/>
  <c r="B65" i="11"/>
  <c r="D65" i="11" s="1"/>
  <c r="C243" i="11"/>
  <c r="B215" i="11"/>
  <c r="C271" i="11"/>
  <c r="B197" i="11"/>
  <c r="D197" i="11" s="1"/>
  <c r="C197" i="11"/>
  <c r="B199" i="11"/>
  <c r="C176" i="11"/>
  <c r="C57" i="11"/>
  <c r="D57" i="11" s="1"/>
  <c r="C29" i="11"/>
  <c r="B9" i="11"/>
  <c r="C306" i="11"/>
  <c r="B287" i="11"/>
  <c r="C268" i="11"/>
  <c r="B251" i="11"/>
  <c r="D251" i="11" s="1"/>
  <c r="B253" i="11"/>
  <c r="C45" i="11"/>
  <c r="B348" i="11"/>
  <c r="B46" i="11"/>
  <c r="C348" i="11"/>
  <c r="B333" i="11"/>
  <c r="C211" i="11"/>
  <c r="D211" i="11" s="1"/>
  <c r="B344" i="11"/>
  <c r="D344" i="11" s="1"/>
  <c r="C126" i="11"/>
  <c r="B19" i="11"/>
  <c r="C221" i="11"/>
  <c r="C207" i="11"/>
  <c r="C234" i="11"/>
  <c r="B354" i="11"/>
  <c r="B70" i="11"/>
  <c r="B230" i="11"/>
  <c r="C30" i="11"/>
  <c r="C200" i="11"/>
  <c r="B21" i="11"/>
  <c r="B131" i="11"/>
  <c r="B142" i="11"/>
  <c r="D142" i="11" s="1"/>
  <c r="B302" i="11"/>
  <c r="C92" i="11"/>
  <c r="C252" i="11"/>
  <c r="B53" i="11"/>
  <c r="C123" i="11"/>
  <c r="C283" i="11"/>
  <c r="C31" i="11"/>
  <c r="S9" i="10"/>
  <c r="S16" i="10"/>
  <c r="B28" i="11"/>
  <c r="B24" i="11"/>
  <c r="D24" i="11" s="1"/>
  <c r="C301" i="11"/>
  <c r="B170" i="11"/>
  <c r="C310" i="11"/>
  <c r="C352" i="11"/>
  <c r="C204" i="11"/>
  <c r="B55" i="11"/>
  <c r="C90" i="11"/>
  <c r="B205" i="11"/>
  <c r="B184" i="11"/>
  <c r="D184" i="11" s="1"/>
  <c r="C160" i="11"/>
  <c r="C94" i="11"/>
  <c r="C144" i="11"/>
  <c r="D144" i="11" s="1"/>
  <c r="C216" i="11"/>
  <c r="C217" i="11"/>
  <c r="B218" i="11"/>
  <c r="C199" i="11"/>
  <c r="D199" i="11" s="1"/>
  <c r="B86" i="11"/>
  <c r="D86" i="11" s="1"/>
  <c r="B58" i="11"/>
  <c r="C187" i="11"/>
  <c r="C324" i="11"/>
  <c r="B307" i="11"/>
  <c r="C287" i="11"/>
  <c r="D287" i="11" s="1"/>
  <c r="B269" i="11"/>
  <c r="D269" i="11" s="1"/>
  <c r="C269" i="11"/>
  <c r="C254" i="11"/>
  <c r="B294" i="11"/>
  <c r="C309" i="11"/>
  <c r="C294" i="11"/>
  <c r="B275" i="11"/>
  <c r="B198" i="11"/>
  <c r="B329" i="11"/>
  <c r="D329" i="11" s="1"/>
  <c r="B236" i="11"/>
  <c r="C5" i="11"/>
  <c r="B208" i="11"/>
  <c r="D208" i="11" s="1"/>
  <c r="B195" i="11"/>
  <c r="C219" i="11"/>
  <c r="B124" i="11"/>
  <c r="B80" i="11"/>
  <c r="B240" i="11"/>
  <c r="C40" i="11"/>
  <c r="C210" i="11"/>
  <c r="B31" i="11"/>
  <c r="B151" i="11"/>
  <c r="B152" i="11"/>
  <c r="B312" i="11"/>
  <c r="D312" i="11" s="1"/>
  <c r="C102" i="11"/>
  <c r="C262" i="11"/>
  <c r="B63" i="11"/>
  <c r="C133" i="11"/>
  <c r="D133" i="11" s="1"/>
  <c r="C293" i="11"/>
  <c r="B246" i="11"/>
  <c r="C16" i="11"/>
  <c r="S15" i="10"/>
  <c r="S18" i="10"/>
  <c r="B7" i="11"/>
  <c r="B57" i="11"/>
  <c r="C311" i="11"/>
  <c r="B97" i="11"/>
  <c r="D97" i="11" s="1"/>
  <c r="C150" i="11"/>
  <c r="C362" i="11"/>
  <c r="C104" i="11"/>
  <c r="B177" i="11"/>
  <c r="B35" i="11"/>
  <c r="C212" i="11"/>
  <c r="C74" i="11"/>
  <c r="C238" i="11"/>
  <c r="B239" i="11"/>
  <c r="C239" i="11"/>
  <c r="B241" i="11"/>
  <c r="B221" i="11"/>
  <c r="C106" i="11"/>
  <c r="C86" i="11"/>
  <c r="C58" i="11"/>
  <c r="C327" i="11"/>
  <c r="B325" i="11"/>
  <c r="C307" i="11"/>
  <c r="C289" i="11"/>
  <c r="B291" i="11"/>
  <c r="D291" i="11" s="1"/>
  <c r="B119" i="11"/>
  <c r="C169" i="11"/>
  <c r="C189" i="11"/>
  <c r="B173" i="11"/>
  <c r="C215" i="11"/>
  <c r="C185" i="11"/>
  <c r="C316" i="11"/>
  <c r="C97" i="11"/>
  <c r="B223" i="11"/>
  <c r="C195" i="11"/>
  <c r="B181" i="11"/>
  <c r="D181" i="11" s="1"/>
  <c r="B207" i="11"/>
  <c r="C326" i="11"/>
  <c r="B108" i="11"/>
  <c r="B90" i="11"/>
  <c r="C50" i="11"/>
  <c r="C220" i="11"/>
  <c r="B41" i="11"/>
  <c r="D41" i="11" s="1"/>
  <c r="B171" i="11"/>
  <c r="D171" i="11" s="1"/>
  <c r="B162" i="11"/>
  <c r="D162" i="11" s="1"/>
  <c r="B322" i="11"/>
  <c r="C112" i="11"/>
  <c r="C272" i="11"/>
  <c r="B73" i="11"/>
  <c r="D73" i="11" s="1"/>
  <c r="C143" i="11"/>
  <c r="C303" i="11"/>
  <c r="B233" i="11"/>
  <c r="S23" i="10"/>
  <c r="S20" i="10"/>
  <c r="B54" i="11"/>
  <c r="C334" i="11"/>
  <c r="C328" i="11"/>
  <c r="B219" i="11"/>
  <c r="C32" i="11"/>
  <c r="B267" i="11"/>
  <c r="B117" i="11"/>
  <c r="B278" i="11"/>
  <c r="C206" i="11"/>
  <c r="C233" i="11"/>
  <c r="D233" i="11" s="1"/>
  <c r="C84" i="11"/>
  <c r="B163" i="11"/>
  <c r="B38" i="11"/>
  <c r="D38" i="11" s="1"/>
  <c r="B190" i="11"/>
  <c r="B313" i="11"/>
  <c r="D313" i="11" s="1"/>
  <c r="B331" i="11"/>
  <c r="D331" i="11" s="1"/>
  <c r="B257" i="11"/>
  <c r="C257" i="11"/>
  <c r="B258" i="11"/>
  <c r="B261" i="11"/>
  <c r="C241" i="11"/>
  <c r="B133" i="11"/>
  <c r="B107" i="11"/>
  <c r="B87" i="11"/>
  <c r="D87" i="11" s="1"/>
  <c r="C9" i="11"/>
  <c r="D9" i="11" s="1"/>
  <c r="C361" i="11"/>
  <c r="B346" i="11"/>
  <c r="C325" i="11"/>
  <c r="B308" i="11"/>
  <c r="C308" i="11"/>
  <c r="B301" i="11"/>
  <c r="D301" i="11" s="1"/>
  <c r="C99" i="11"/>
  <c r="B309" i="11"/>
  <c r="D309" i="11" s="1"/>
  <c r="C231" i="11"/>
  <c r="D231" i="11" s="1"/>
  <c r="B147" i="11"/>
  <c r="D147" i="11" s="1"/>
  <c r="C171" i="11"/>
  <c r="B304" i="11"/>
  <c r="B84" i="11"/>
  <c r="C208" i="11"/>
  <c r="C181" i="11"/>
  <c r="B167" i="11"/>
  <c r="C194" i="11"/>
  <c r="B314" i="11"/>
  <c r="B95" i="11"/>
  <c r="B100" i="11"/>
  <c r="B260" i="11"/>
  <c r="C60" i="11"/>
  <c r="C230" i="11"/>
  <c r="D230" i="11" s="1"/>
  <c r="B51" i="11"/>
  <c r="B12" i="11"/>
  <c r="B172" i="11"/>
  <c r="B332" i="11"/>
  <c r="C122" i="11"/>
  <c r="D122" i="11" s="1"/>
  <c r="C282" i="11"/>
  <c r="B83" i="11"/>
  <c r="D83" i="11" s="1"/>
  <c r="C153" i="11"/>
  <c r="C313" i="11"/>
  <c r="C218" i="11"/>
  <c r="D218" i="11" s="1"/>
  <c r="S25" i="10"/>
  <c r="S35" i="10"/>
  <c r="S22" i="10"/>
  <c r="B315" i="11"/>
  <c r="C65" i="11"/>
  <c r="B123" i="11"/>
  <c r="D123" i="11" s="1"/>
  <c r="C56" i="11"/>
  <c r="D56" i="11" s="1"/>
  <c r="B349" i="11"/>
  <c r="B66" i="11"/>
  <c r="C320" i="11"/>
  <c r="C73" i="11"/>
  <c r="B271" i="11"/>
  <c r="D271" i="11" s="1"/>
  <c r="C186" i="11"/>
  <c r="B303" i="11"/>
  <c r="B102" i="11"/>
  <c r="S34" i="10"/>
  <c r="B74" i="11"/>
  <c r="D74" i="11" s="1"/>
  <c r="B146" i="11"/>
  <c r="D146" i="11" s="1"/>
  <c r="C278" i="11"/>
  <c r="B279" i="11"/>
  <c r="C279" i="11"/>
  <c r="B281" i="11"/>
  <c r="C264" i="11"/>
  <c r="C157" i="11"/>
  <c r="B134" i="11"/>
  <c r="B114" i="11"/>
  <c r="C37" i="11"/>
  <c r="C11" i="11"/>
  <c r="B363" i="11"/>
  <c r="C346" i="11"/>
  <c r="D346" i="11" s="1"/>
  <c r="B327" i="11"/>
  <c r="C347" i="11"/>
  <c r="D347" i="11" s="1"/>
  <c r="C44" i="11"/>
  <c r="C21" i="11"/>
  <c r="B45" i="11"/>
  <c r="B293" i="11"/>
  <c r="B75" i="11"/>
  <c r="D75" i="11" s="1"/>
  <c r="B157" i="11"/>
  <c r="D157" i="11" s="1"/>
  <c r="B289" i="11"/>
  <c r="B67" i="11"/>
  <c r="B196" i="11"/>
  <c r="D196" i="11" s="1"/>
  <c r="C167" i="11"/>
  <c r="B154" i="11"/>
  <c r="C179" i="11"/>
  <c r="B299" i="11"/>
  <c r="B78" i="11"/>
  <c r="B110" i="11"/>
  <c r="B270" i="11"/>
  <c r="C70" i="11"/>
  <c r="C240" i="11"/>
  <c r="D240" i="11" s="1"/>
  <c r="B61" i="11"/>
  <c r="B22" i="11"/>
  <c r="D22" i="11" s="1"/>
  <c r="B182" i="11"/>
  <c r="D182" i="11" s="1"/>
  <c r="B342" i="11"/>
  <c r="C132" i="11"/>
  <c r="D132" i="11" s="1"/>
  <c r="C292" i="11"/>
  <c r="D292" i="11" s="1"/>
  <c r="B93" i="11"/>
  <c r="D93" i="11" s="1"/>
  <c r="C163" i="11"/>
  <c r="D163" i="11" s="1"/>
  <c r="C323" i="11"/>
  <c r="B206" i="11"/>
  <c r="S32" i="10"/>
  <c r="S7" i="10"/>
  <c r="C55" i="11"/>
  <c r="D55" i="11" s="1"/>
  <c r="C338" i="11"/>
  <c r="C295" i="11"/>
  <c r="B326" i="11"/>
  <c r="B305" i="11"/>
  <c r="D305" i="11" s="1"/>
  <c r="C330" i="11"/>
  <c r="C329" i="11"/>
  <c r="C145" i="11"/>
  <c r="D145" i="11"/>
  <c r="C296" i="11"/>
  <c r="B297" i="11"/>
  <c r="D297" i="11" s="1"/>
  <c r="C297" i="11"/>
  <c r="B298" i="11"/>
  <c r="D298" i="11" s="1"/>
  <c r="C281" i="11"/>
  <c r="D281" i="11" s="1"/>
  <c r="C177" i="11"/>
  <c r="B158" i="11"/>
  <c r="C134" i="11"/>
  <c r="B59" i="11"/>
  <c r="C38" i="11"/>
  <c r="B14" i="11"/>
  <c r="B4" i="11"/>
  <c r="E4" i="11" s="1"/>
  <c r="B347" i="11"/>
  <c r="B191" i="11"/>
  <c r="B296" i="11"/>
  <c r="B338" i="11"/>
  <c r="C351" i="11"/>
  <c r="B231" i="11"/>
  <c r="B358" i="11"/>
  <c r="B144" i="11"/>
  <c r="C276" i="11"/>
  <c r="C51" i="11"/>
  <c r="B183" i="11"/>
  <c r="C154" i="11"/>
  <c r="B138" i="11"/>
  <c r="D138" i="11" s="1"/>
  <c r="C166" i="11"/>
  <c r="C286" i="11"/>
  <c r="C64" i="11"/>
  <c r="B120" i="11"/>
  <c r="B280" i="11"/>
  <c r="C80" i="11"/>
  <c r="C250" i="11"/>
  <c r="B81" i="11"/>
  <c r="B32" i="11"/>
  <c r="B192" i="11"/>
  <c r="B352" i="11"/>
  <c r="D352" i="11" s="1"/>
  <c r="C142" i="11"/>
  <c r="C302" i="11"/>
  <c r="C13" i="11"/>
  <c r="D13" i="11" s="1"/>
  <c r="C173" i="11"/>
  <c r="C333" i="11"/>
  <c r="B193" i="11"/>
  <c r="S27" i="10"/>
  <c r="D43" i="10"/>
  <c r="E43" i="10" s="1"/>
  <c r="E45" i="10" s="1"/>
  <c r="S13" i="10"/>
  <c r="C54" i="11"/>
  <c r="D54" i="11" s="1"/>
  <c r="B186" i="11"/>
  <c r="B340" i="11"/>
  <c r="S29" i="10"/>
  <c r="B285" i="11"/>
  <c r="B30" i="11"/>
  <c r="S8" i="10"/>
  <c r="C71" i="11"/>
  <c r="C255" i="11"/>
  <c r="B317" i="11"/>
  <c r="C317" i="11"/>
  <c r="D317" i="11" s="1"/>
  <c r="C318" i="11"/>
  <c r="B319" i="11"/>
  <c r="C299" i="11"/>
  <c r="C201" i="11"/>
  <c r="B178" i="11"/>
  <c r="D178" i="11" s="1"/>
  <c r="C158" i="11"/>
  <c r="C87" i="11"/>
  <c r="C59" i="11"/>
  <c r="D59" i="11" s="1"/>
  <c r="B39" i="11"/>
  <c r="D39" i="11" s="1"/>
  <c r="C14" i="11"/>
  <c r="D14" i="11" s="1"/>
  <c r="C4" i="11"/>
  <c r="C119" i="11"/>
  <c r="B188" i="11"/>
  <c r="B169" i="11"/>
  <c r="D169" i="11" s="1"/>
  <c r="B254" i="11"/>
  <c r="D254" i="11" s="1"/>
  <c r="B16" i="11"/>
  <c r="C345" i="11"/>
  <c r="B128" i="11"/>
  <c r="B264" i="11"/>
  <c r="C36" i="11"/>
  <c r="B168" i="11"/>
  <c r="C355" i="11"/>
  <c r="C138" i="11"/>
  <c r="B125" i="11"/>
  <c r="D125" i="11" s="1"/>
  <c r="B153" i="11"/>
  <c r="D153" i="11" s="1"/>
  <c r="B274" i="11"/>
  <c r="D274" i="11" s="1"/>
  <c r="C47" i="11"/>
  <c r="B130" i="11"/>
  <c r="B290" i="11"/>
  <c r="C100" i="11"/>
  <c r="C260" i="11"/>
  <c r="B91" i="11"/>
  <c r="D91" i="11" s="1"/>
  <c r="B42" i="11"/>
  <c r="B202" i="11"/>
  <c r="D202" i="11" s="1"/>
  <c r="B362" i="11"/>
  <c r="C152" i="11"/>
  <c r="C312" i="11"/>
  <c r="C23" i="11"/>
  <c r="C183" i="11"/>
  <c r="D183" i="11" s="1"/>
  <c r="C343" i="11"/>
  <c r="D343" i="11" s="1"/>
  <c r="C178" i="11"/>
  <c r="S31" i="10"/>
  <c r="S36" i="10"/>
  <c r="S19" i="10"/>
  <c r="C159" i="11"/>
  <c r="C304" i="11"/>
  <c r="D304" i="11" s="1"/>
  <c r="C196" i="11"/>
  <c r="B92" i="11"/>
  <c r="D92" i="11" s="1"/>
  <c r="B104" i="11"/>
  <c r="C224" i="11"/>
  <c r="B194" i="11"/>
  <c r="D194" i="11" s="1"/>
  <c r="B13" i="11"/>
  <c r="B255" i="11"/>
  <c r="C335" i="11"/>
  <c r="B336" i="11"/>
  <c r="D336" i="11" s="1"/>
  <c r="C336" i="11"/>
  <c r="B337" i="11"/>
  <c r="C319" i="11"/>
  <c r="B225" i="11"/>
  <c r="B203" i="11"/>
  <c r="C184" i="11"/>
  <c r="C114" i="11"/>
  <c r="B88" i="11"/>
  <c r="C61" i="11"/>
  <c r="C39" i="11"/>
  <c r="B15" i="11"/>
  <c r="C358" i="11"/>
  <c r="B118" i="11"/>
  <c r="C98" i="11"/>
  <c r="C118" i="11"/>
  <c r="B283" i="11"/>
  <c r="D283" i="11" s="1"/>
  <c r="C331" i="11"/>
  <c r="B115" i="11"/>
  <c r="B249" i="11"/>
  <c r="C19" i="11"/>
  <c r="D19" i="11" s="1"/>
  <c r="B155" i="11"/>
  <c r="C341" i="11"/>
  <c r="C125" i="11"/>
  <c r="B109" i="11"/>
  <c r="C137" i="11"/>
  <c r="B259" i="11"/>
  <c r="B34" i="11"/>
  <c r="B140" i="11"/>
  <c r="D140" i="11" s="1"/>
  <c r="B300" i="11"/>
  <c r="D300" i="11" s="1"/>
  <c r="C110" i="11"/>
  <c r="C280" i="11"/>
  <c r="D280" i="11" s="1"/>
  <c r="B101" i="11"/>
  <c r="B52" i="11"/>
  <c r="D52" i="11" s="1"/>
  <c r="B212" i="11"/>
  <c r="D212" i="11" s="1"/>
  <c r="E47" i="10"/>
  <c r="D47" i="10" s="1"/>
  <c r="C162" i="11"/>
  <c r="C322" i="11"/>
  <c r="C33" i="11"/>
  <c r="C193" i="11"/>
  <c r="C353" i="11"/>
  <c r="D353" i="11" s="1"/>
  <c r="C165" i="11"/>
  <c r="S26" i="10"/>
  <c r="S30" i="10"/>
  <c r="B245" i="11"/>
  <c r="C79" i="11"/>
  <c r="B82" i="11"/>
  <c r="B76" i="11"/>
  <c r="C78" i="11"/>
  <c r="C107" i="11"/>
  <c r="D107" i="11" s="1"/>
  <c r="C321" i="11"/>
  <c r="B49" i="11"/>
  <c r="D49" i="11" s="1"/>
  <c r="C83" i="11"/>
  <c r="B321" i="11"/>
  <c r="D321" i="11" s="1"/>
  <c r="B17" i="11"/>
  <c r="D17" i="11" s="1"/>
  <c r="C354" i="11"/>
  <c r="B355" i="11"/>
  <c r="D355" i="11" s="1"/>
  <c r="B356" i="11"/>
  <c r="B357" i="11"/>
  <c r="C337" i="11"/>
  <c r="D337" i="11" s="1"/>
  <c r="B244" i="11"/>
  <c r="D244" i="11" s="1"/>
  <c r="B226" i="11"/>
  <c r="D226" i="11" s="1"/>
  <c r="B204" i="11"/>
  <c r="B135" i="11"/>
  <c r="C115" i="11"/>
  <c r="D115" i="11" s="1"/>
  <c r="C88" i="11"/>
  <c r="D88" i="11" s="1"/>
  <c r="C67" i="11"/>
  <c r="C41" i="11"/>
  <c r="B189" i="11"/>
  <c r="C349" i="11"/>
  <c r="B335" i="11"/>
  <c r="D335" i="11" s="1"/>
  <c r="B351" i="11"/>
  <c r="D351" i="11" s="1"/>
  <c r="C229" i="11"/>
  <c r="B318" i="11"/>
  <c r="D318" i="11" s="1"/>
  <c r="B99" i="11"/>
  <c r="C236" i="11"/>
  <c r="D236" i="11" s="1"/>
  <c r="B6" i="11"/>
  <c r="B139" i="11"/>
  <c r="B328" i="11"/>
  <c r="C109" i="11"/>
  <c r="B96" i="11"/>
  <c r="D96" i="11" s="1"/>
  <c r="C124" i="11"/>
  <c r="D124" i="11" s="1"/>
  <c r="C246" i="11"/>
  <c r="B150" i="11"/>
  <c r="D150" i="11" s="1"/>
  <c r="B310" i="11"/>
  <c r="C120" i="11"/>
  <c r="D120" i="11" s="1"/>
  <c r="C290" i="11"/>
  <c r="B121" i="11"/>
  <c r="B62" i="11"/>
  <c r="B222" i="11"/>
  <c r="C12" i="11"/>
  <c r="C172" i="11"/>
  <c r="C332" i="11"/>
  <c r="C43" i="11"/>
  <c r="D43" i="11" s="1"/>
  <c r="C203" i="11"/>
  <c r="C363" i="11"/>
  <c r="D363" i="11" s="1"/>
  <c r="C149" i="11"/>
  <c r="S28" i="10"/>
  <c r="S33" i="10"/>
  <c r="C223" i="11"/>
  <c r="C284" i="11"/>
  <c r="D284" i="11" s="1"/>
  <c r="B295" i="11"/>
  <c r="C52" i="11"/>
  <c r="C69" i="11"/>
  <c r="B26" i="11"/>
  <c r="C26" i="11"/>
  <c r="B27" i="11"/>
  <c r="C27" i="11"/>
  <c r="C6" i="11"/>
  <c r="C357" i="11"/>
  <c r="D357" i="11" s="1"/>
  <c r="B266" i="11"/>
  <c r="D266" i="11" s="1"/>
  <c r="C244" i="11"/>
  <c r="C226" i="11"/>
  <c r="B159" i="11"/>
  <c r="D159" i="11" s="1"/>
  <c r="C135" i="11"/>
  <c r="D135" i="11" s="1"/>
  <c r="B116" i="11"/>
  <c r="D116" i="11" s="1"/>
  <c r="B89" i="11"/>
  <c r="D89" i="11" s="1"/>
  <c r="B68" i="11"/>
  <c r="C188" i="11"/>
  <c r="C237" i="11"/>
  <c r="B98" i="11"/>
  <c r="D98" i="11" s="1"/>
  <c r="B243" i="11"/>
  <c r="B165" i="11"/>
  <c r="C305" i="11"/>
  <c r="C85" i="11"/>
  <c r="B224" i="11"/>
  <c r="B343" i="11"/>
  <c r="B126" i="11"/>
  <c r="C315" i="11"/>
  <c r="D315" i="11" s="1"/>
  <c r="C96" i="11"/>
  <c r="B79" i="11"/>
  <c r="D79" i="11" s="1"/>
  <c r="C108" i="11"/>
  <c r="B234" i="11"/>
  <c r="S24" i="10"/>
  <c r="B160" i="11"/>
  <c r="D160" i="11" s="1"/>
  <c r="B320" i="11"/>
  <c r="D320" i="11" s="1"/>
  <c r="C130" i="11"/>
  <c r="C300" i="11"/>
  <c r="B141" i="11"/>
  <c r="B72" i="11"/>
  <c r="D72" i="11" s="1"/>
  <c r="B232" i="11"/>
  <c r="D232" i="11" s="1"/>
  <c r="C22" i="11"/>
  <c r="C182" i="11"/>
  <c r="C342" i="11"/>
  <c r="D342" i="11" s="1"/>
  <c r="C53" i="11"/>
  <c r="C213" i="11"/>
  <c r="D213" i="11" s="1"/>
  <c r="B353" i="11"/>
  <c r="C136" i="11"/>
  <c r="S11" i="10"/>
  <c r="B136" i="11"/>
  <c r="B330" i="11"/>
  <c r="C75" i="11"/>
  <c r="C141" i="11"/>
  <c r="B316" i="11"/>
  <c r="D316" i="11" s="1"/>
  <c r="B180" i="11"/>
  <c r="D180" i="11" s="1"/>
  <c r="S21" i="10"/>
  <c r="B85" i="11"/>
  <c r="D85" i="11" s="1"/>
  <c r="C191" i="11"/>
  <c r="C275" i="11"/>
  <c r="B262" i="11"/>
  <c r="D262" i="11" s="1"/>
  <c r="D53" i="6"/>
  <c r="E53" i="6"/>
  <c r="D54" i="6"/>
  <c r="E54" i="6"/>
  <c r="I25" i="6"/>
  <c r="D128" i="11"/>
  <c r="D66" i="11"/>
  <c r="D101" i="11"/>
  <c r="D222" i="11"/>
  <c r="D189" i="11"/>
  <c r="D16" i="11"/>
  <c r="D18" i="12"/>
  <c r="E43" i="8"/>
  <c r="D362" i="11"/>
  <c r="D95" i="11"/>
  <c r="D209" i="11"/>
  <c r="D81" i="11"/>
  <c r="D126" i="11"/>
  <c r="D293" i="11"/>
  <c r="D204" i="11"/>
  <c r="D348" i="11"/>
  <c r="D201" i="11"/>
  <c r="D326" i="11"/>
  <c r="D42" i="11"/>
  <c r="D121" i="11"/>
  <c r="D77" i="11"/>
  <c r="D190" i="11"/>
  <c r="D29" i="11"/>
  <c r="D341" i="11"/>
  <c r="D4" i="11"/>
  <c r="D215" i="11"/>
  <c r="D272" i="11"/>
  <c r="D99" i="11"/>
  <c r="D104" i="11"/>
  <c r="D102" i="11"/>
  <c r="D234" i="11"/>
  <c r="D31" i="11"/>
  <c r="D223" i="11"/>
  <c r="D206" i="11"/>
  <c r="D225" i="11"/>
  <c r="D319" i="11"/>
  <c r="D193" i="11"/>
  <c r="D276" i="11"/>
  <c r="D11" i="11"/>
  <c r="D165" i="11"/>
  <c r="D221" i="11"/>
  <c r="D7" i="11"/>
  <c r="D109" i="11"/>
  <c r="D175" i="11"/>
  <c r="D330" i="11"/>
  <c r="D310" i="11"/>
  <c r="D170" i="11"/>
  <c r="D82" i="11"/>
  <c r="D255" i="11"/>
  <c r="D45" i="11"/>
  <c r="D36" i="11"/>
  <c r="D141" i="11"/>
  <c r="D27" i="11"/>
  <c r="D110" i="11"/>
  <c r="D327" i="11"/>
  <c r="D167" i="11"/>
  <c r="D176" i="11"/>
  <c r="D8" i="11"/>
  <c r="D243" i="11"/>
  <c r="D356" i="11"/>
  <c r="D78" i="11"/>
  <c r="D303" i="11"/>
  <c r="D278" i="11"/>
  <c r="D322" i="11"/>
  <c r="D241" i="11"/>
  <c r="D80" i="11"/>
  <c r="D282" i="11"/>
  <c r="D149" i="11"/>
  <c r="D6" i="11"/>
  <c r="D294" i="11"/>
  <c r="D173" i="11"/>
  <c r="D239" i="11"/>
  <c r="D71" i="11"/>
  <c r="D94" i="11"/>
  <c r="D290" i="11"/>
  <c r="D246" i="11"/>
  <c r="D307" i="11"/>
  <c r="D277" i="11"/>
  <c r="D237" i="11"/>
  <c r="D164" i="11"/>
  <c r="D299" i="11"/>
  <c r="D114" i="11"/>
  <c r="D332" i="11"/>
  <c r="D220" i="11"/>
  <c r="D179" i="11"/>
  <c r="D187" i="11"/>
  <c r="D136" i="11"/>
  <c r="D295" i="11"/>
  <c r="D30" i="11"/>
  <c r="D358" i="11"/>
  <c r="D134" i="11"/>
  <c r="D119" i="11"/>
  <c r="D229" i="11"/>
  <c r="D67" i="11"/>
  <c r="D349" i="11"/>
  <c r="D12" i="11"/>
  <c r="D302" i="11"/>
  <c r="D257" i="11"/>
  <c r="D58" i="11"/>
  <c r="D47" i="11"/>
  <c r="D216" i="11"/>
  <c r="D338" i="11"/>
  <c r="D273" i="11"/>
  <c r="D268" i="11"/>
  <c r="D103" i="11"/>
  <c r="D306" i="11"/>
  <c r="D70" i="11"/>
  <c r="D325" i="11"/>
  <c r="D21" i="11"/>
  <c r="D5" i="11"/>
  <c r="D64" i="11"/>
  <c r="D275" i="11"/>
  <c r="D76" i="11"/>
  <c r="D191" i="11"/>
  <c r="D279" i="11"/>
  <c r="D260" i="11"/>
  <c r="D207" i="11"/>
  <c r="D286" i="11"/>
  <c r="D20" i="11"/>
  <c r="E5" i="11"/>
  <c r="E6" i="11" s="1"/>
  <c r="E7" i="11" s="1"/>
  <c r="E8" i="11"/>
  <c r="E9" i="11" s="1"/>
  <c r="E10" i="11"/>
  <c r="E11" i="11"/>
  <c r="E12" i="11"/>
  <c r="E13" i="11" s="1"/>
  <c r="E14" i="11" s="1"/>
  <c r="E15" i="11" s="1"/>
  <c r="E16" i="11" s="1"/>
  <c r="E17" i="11" s="1"/>
  <c r="D51" i="6"/>
  <c r="D25" i="6"/>
  <c r="A11" i="2"/>
  <c r="A12" i="2"/>
  <c r="A13" i="2"/>
  <c r="A14" i="2"/>
  <c r="A15" i="2"/>
  <c r="A16" i="2"/>
  <c r="A17" i="2"/>
  <c r="A18" i="2"/>
  <c r="A19" i="2"/>
  <c r="A20" i="2"/>
  <c r="A21" i="2"/>
  <c r="A22" i="2"/>
  <c r="A23" i="2"/>
  <c r="E51" i="6"/>
  <c r="D35" i="6"/>
  <c r="E46" i="6"/>
  <c r="C20" i="3"/>
  <c r="D40" i="6"/>
  <c r="C173" i="4" s="1"/>
  <c r="C184" i="4"/>
  <c r="C32" i="4"/>
  <c r="C96" i="4"/>
  <c r="B97" i="4"/>
  <c r="B80" i="4"/>
  <c r="V17" i="10" l="1"/>
  <c r="V14" i="10"/>
  <c r="H36" i="10"/>
  <c r="D30" i="10"/>
  <c r="V29" i="10"/>
  <c r="E18" i="11"/>
  <c r="E19" i="11" s="1"/>
  <c r="E20" i="11" s="1"/>
  <c r="E21" i="11" s="1"/>
  <c r="E22" i="11" s="1"/>
  <c r="E23" i="11" s="1"/>
  <c r="E24" i="11" s="1"/>
  <c r="D354" i="11"/>
  <c r="D177" i="11"/>
  <c r="D15" i="11"/>
  <c r="V12" i="10"/>
  <c r="V11" i="10"/>
  <c r="V16" i="10"/>
  <c r="D118" i="11"/>
  <c r="D130" i="11"/>
  <c r="D172" i="11"/>
  <c r="D166" i="11"/>
  <c r="D148" i="11"/>
  <c r="D308" i="11"/>
  <c r="V31" i="10"/>
  <c r="E49" i="10"/>
  <c r="E56" i="10" s="1"/>
  <c r="I25" i="10" s="1"/>
  <c r="D224" i="11"/>
  <c r="D203" i="11"/>
  <c r="D100" i="11"/>
  <c r="D108" i="11"/>
  <c r="D45" i="10"/>
  <c r="D49" i="10" s="1"/>
  <c r="D56" i="10" s="1"/>
  <c r="D186" i="11"/>
  <c r="D158" i="11"/>
  <c r="D151" i="11"/>
  <c r="D143" i="11"/>
  <c r="D61" i="11"/>
  <c r="D51" i="11"/>
  <c r="D112" i="11"/>
  <c r="D62" i="11"/>
  <c r="D195" i="11"/>
  <c r="V18" i="10"/>
  <c r="D333" i="11"/>
  <c r="D127" i="11"/>
  <c r="D296" i="11"/>
  <c r="D252" i="11"/>
  <c r="V21" i="10"/>
  <c r="V26" i="10"/>
  <c r="D253" i="11"/>
  <c r="D155" i="11"/>
  <c r="D154" i="11"/>
  <c r="D90" i="11"/>
  <c r="D53" i="11"/>
  <c r="V9" i="10"/>
  <c r="D26" i="11"/>
  <c r="D264" i="11"/>
  <c r="D219" i="11"/>
  <c r="D32" i="11"/>
  <c r="D238" i="11"/>
  <c r="U7" i="10"/>
  <c r="N7" i="10" s="1"/>
  <c r="D249" i="11"/>
  <c r="D285" i="11"/>
  <c r="D235" i="11"/>
  <c r="D328" i="11"/>
  <c r="D188" i="11"/>
  <c r="D84" i="11"/>
  <c r="D33" i="11"/>
  <c r="D139" i="11"/>
  <c r="D289" i="11"/>
  <c r="D152" i="11"/>
  <c r="D23" i="11"/>
  <c r="D28" i="11"/>
  <c r="C156" i="11"/>
  <c r="B214" i="11"/>
  <c r="D214" i="11" s="1"/>
  <c r="C10" i="11"/>
  <c r="D10" i="11" s="1"/>
  <c r="B228" i="11"/>
  <c r="D228" i="11" s="1"/>
  <c r="B69" i="11"/>
  <c r="D69" i="11" s="1"/>
  <c r="B360" i="11"/>
  <c r="D360" i="11" s="1"/>
  <c r="C205" i="11"/>
  <c r="D205" i="11" s="1"/>
  <c r="B25" i="11"/>
  <c r="D25" i="11" s="1"/>
  <c r="T27" i="10"/>
  <c r="B250" i="11"/>
  <c r="D250" i="11" s="1"/>
  <c r="B345" i="11"/>
  <c r="D345" i="11" s="1"/>
  <c r="C192" i="11"/>
  <c r="D192" i="11" s="1"/>
  <c r="B339" i="11"/>
  <c r="D339" i="11" s="1"/>
  <c r="B37" i="11"/>
  <c r="D37" i="11" s="1"/>
  <c r="C68" i="11"/>
  <c r="D68" i="11" s="1"/>
  <c r="B137" i="11"/>
  <c r="D137" i="11" s="1"/>
  <c r="B361" i="11"/>
  <c r="D361" i="11" s="1"/>
  <c r="S14" i="10"/>
  <c r="C235" i="11"/>
  <c r="B156" i="11"/>
  <c r="D156" i="11" s="1"/>
  <c r="B44" i="11"/>
  <c r="D44" i="11" s="1"/>
  <c r="B210" i="11"/>
  <c r="D210" i="11" s="1"/>
  <c r="C247" i="11"/>
  <c r="D247" i="11" s="1"/>
  <c r="C63" i="11"/>
  <c r="D63" i="11" s="1"/>
  <c r="B200" i="11"/>
  <c r="D200" i="11" s="1"/>
  <c r="C227" i="11"/>
  <c r="D227" i="11" s="1"/>
  <c r="T32" i="10"/>
  <c r="C117" i="11"/>
  <c r="D117" i="11" s="1"/>
  <c r="B50" i="11"/>
  <c r="D50" i="11" s="1"/>
  <c r="C267" i="11"/>
  <c r="D267" i="11" s="1"/>
  <c r="B161" i="11"/>
  <c r="D161" i="11" s="1"/>
  <c r="B40" i="11"/>
  <c r="D40" i="11" s="1"/>
  <c r="C245" i="11"/>
  <c r="D245" i="11" s="1"/>
  <c r="T28" i="10"/>
  <c r="B185" i="11"/>
  <c r="D185" i="11" s="1"/>
  <c r="C259" i="11"/>
  <c r="D259" i="11" s="1"/>
  <c r="B359" i="11"/>
  <c r="D359" i="11" s="1"/>
  <c r="C15" i="11"/>
  <c r="B18" i="11"/>
  <c r="D18" i="11" s="1"/>
  <c r="C339" i="11"/>
  <c r="T21" i="10"/>
  <c r="C35" i="11"/>
  <c r="D35" i="11" s="1"/>
  <c r="C28" i="11"/>
  <c r="T34" i="10"/>
  <c r="B113" i="11"/>
  <c r="D113" i="11" s="1"/>
  <c r="B217" i="11"/>
  <c r="D217" i="11" s="1"/>
  <c r="C258" i="11"/>
  <c r="D258" i="11" s="1"/>
  <c r="C248" i="11"/>
  <c r="C198" i="11"/>
  <c r="D198" i="11" s="1"/>
  <c r="C242" i="11"/>
  <c r="D242" i="11" s="1"/>
  <c r="B334" i="11"/>
  <c r="D334" i="11" s="1"/>
  <c r="B256" i="11"/>
  <c r="D256" i="11" s="1"/>
  <c r="S12" i="10"/>
  <c r="B248" i="11"/>
  <c r="D248" i="11" s="1"/>
  <c r="C129" i="11"/>
  <c r="D129" i="11" s="1"/>
  <c r="S10" i="10"/>
  <c r="C261" i="11"/>
  <c r="D261" i="11" s="1"/>
  <c r="T36" i="10"/>
  <c r="C177" i="4"/>
  <c r="B318" i="4"/>
  <c r="B341" i="4"/>
  <c r="B69" i="4"/>
  <c r="B290" i="4"/>
  <c r="B359" i="4"/>
  <c r="B172" i="4"/>
  <c r="B358" i="4"/>
  <c r="D358" i="4" s="1"/>
  <c r="B129" i="4"/>
  <c r="C145" i="4"/>
  <c r="C307" i="4"/>
  <c r="B272" i="4"/>
  <c r="C341" i="4"/>
  <c r="C14" i="4"/>
  <c r="B119" i="4"/>
  <c r="B184" i="4"/>
  <c r="D184" i="4" s="1"/>
  <c r="C247" i="4"/>
  <c r="C33" i="4"/>
  <c r="B142" i="4"/>
  <c r="B199" i="4"/>
  <c r="C358" i="4"/>
  <c r="B152" i="4"/>
  <c r="B46" i="4"/>
  <c r="B173" i="4"/>
  <c r="D173" i="4" s="1"/>
  <c r="B118" i="4"/>
  <c r="C110" i="4"/>
  <c r="B259" i="4"/>
  <c r="C324" i="4"/>
  <c r="S18" i="6"/>
  <c r="B294" i="4"/>
  <c r="B52" i="4"/>
  <c r="D52" i="4" s="1"/>
  <c r="B139" i="4"/>
  <c r="D139" i="4" s="1"/>
  <c r="C316" i="4"/>
  <c r="B344" i="4"/>
  <c r="B180" i="4"/>
  <c r="D180" i="4" s="1"/>
  <c r="B113" i="4"/>
  <c r="D113" i="4" s="1"/>
  <c r="B99" i="4"/>
  <c r="B330" i="4"/>
  <c r="C36" i="4"/>
  <c r="C60" i="4"/>
  <c r="B50" i="4"/>
  <c r="B267" i="4"/>
  <c r="B191" i="4"/>
  <c r="B235" i="4"/>
  <c r="C125" i="4"/>
  <c r="C237" i="4"/>
  <c r="B286" i="4"/>
  <c r="B35" i="4"/>
  <c r="C119" i="4"/>
  <c r="C43" i="4"/>
  <c r="C305" i="4"/>
  <c r="C129" i="4"/>
  <c r="B222" i="4"/>
  <c r="D222" i="4" s="1"/>
  <c r="C313" i="4"/>
  <c r="B164" i="4"/>
  <c r="C81" i="4"/>
  <c r="C306" i="4"/>
  <c r="C263" i="4"/>
  <c r="B6" i="4"/>
  <c r="B353" i="4"/>
  <c r="C363" i="4"/>
  <c r="B82" i="4"/>
  <c r="B136" i="4"/>
  <c r="B252" i="4"/>
  <c r="B269" i="4"/>
  <c r="C9" i="4"/>
  <c r="C284" i="4"/>
  <c r="B196" i="4"/>
  <c r="D196" i="4" s="1"/>
  <c r="C106" i="4"/>
  <c r="C7" i="4"/>
  <c r="B20" i="4"/>
  <c r="B55" i="4"/>
  <c r="B169" i="4"/>
  <c r="B251" i="4"/>
  <c r="S25" i="6"/>
  <c r="B86" i="4"/>
  <c r="B59" i="4"/>
  <c r="B13" i="4"/>
  <c r="C220" i="4"/>
  <c r="C197" i="4"/>
  <c r="C351" i="4"/>
  <c r="B346" i="4"/>
  <c r="C199" i="4"/>
  <c r="C52" i="4"/>
  <c r="C152" i="4"/>
  <c r="C298" i="4"/>
  <c r="B254" i="4"/>
  <c r="C189" i="4"/>
  <c r="C97" i="4"/>
  <c r="D97" i="4" s="1"/>
  <c r="C124" i="4"/>
  <c r="B352" i="4"/>
  <c r="D352" i="4" s="1"/>
  <c r="C300" i="4"/>
  <c r="C253" i="4"/>
  <c r="B45" i="4"/>
  <c r="B28" i="4"/>
  <c r="D28" i="4" s="1"/>
  <c r="C183" i="4"/>
  <c r="B296" i="4"/>
  <c r="D296" i="4" s="1"/>
  <c r="C47" i="4"/>
  <c r="B287" i="4"/>
  <c r="C37" i="4"/>
  <c r="B111" i="4"/>
  <c r="C151" i="4"/>
  <c r="B277" i="4"/>
  <c r="C53" i="4"/>
  <c r="B40" i="4"/>
  <c r="B239" i="4"/>
  <c r="B292" i="4"/>
  <c r="C323" i="4"/>
  <c r="C16" i="4"/>
  <c r="C276" i="4"/>
  <c r="S22" i="6"/>
  <c r="B101" i="4"/>
  <c r="D101" i="4" s="1"/>
  <c r="C344" i="4"/>
  <c r="B39" i="4"/>
  <c r="D39" i="4" s="1"/>
  <c r="C18" i="3"/>
  <c r="C21" i="3" s="1"/>
  <c r="C23" i="3" s="1"/>
  <c r="C28" i="3" s="1"/>
  <c r="C195" i="4"/>
  <c r="B155" i="4"/>
  <c r="C138" i="4"/>
  <c r="C219" i="4"/>
  <c r="B197" i="4"/>
  <c r="D197" i="4" s="1"/>
  <c r="C69" i="4"/>
  <c r="B315" i="4"/>
  <c r="S14" i="6"/>
  <c r="B15" i="4"/>
  <c r="C87" i="4"/>
  <c r="S33" i="6"/>
  <c r="B345" i="4"/>
  <c r="B320" i="4"/>
  <c r="D320" i="4" s="1"/>
  <c r="B328" i="4"/>
  <c r="B43" i="4"/>
  <c r="D43" i="4" s="1"/>
  <c r="C25" i="4"/>
  <c r="B324" i="4"/>
  <c r="D324" i="4" s="1"/>
  <c r="B98" i="4"/>
  <c r="D98" i="4" s="1"/>
  <c r="B297" i="4"/>
  <c r="B283" i="4"/>
  <c r="C82" i="4"/>
  <c r="B117" i="4"/>
  <c r="D117" i="4" s="1"/>
  <c r="C241" i="4"/>
  <c r="B147" i="4"/>
  <c r="B325" i="4"/>
  <c r="C278" i="4"/>
  <c r="B144" i="4"/>
  <c r="C215" i="4"/>
  <c r="B333" i="4"/>
  <c r="B271" i="4"/>
  <c r="C291" i="4"/>
  <c r="C315" i="4"/>
  <c r="B120" i="4"/>
  <c r="D120" i="4" s="1"/>
  <c r="B32" i="4"/>
  <c r="D32" i="4" s="1"/>
  <c r="B205" i="4"/>
  <c r="B72" i="4"/>
  <c r="C157" i="4"/>
  <c r="B233" i="4"/>
  <c r="C17" i="4"/>
  <c r="C174" i="4"/>
  <c r="B108" i="4"/>
  <c r="C29" i="4"/>
  <c r="B178" i="4"/>
  <c r="B309" i="4"/>
  <c r="C117" i="4"/>
  <c r="C235" i="4"/>
  <c r="B257" i="4"/>
  <c r="C132" i="4"/>
  <c r="C229" i="4"/>
  <c r="B36" i="4"/>
  <c r="D36" i="4" s="1"/>
  <c r="C49" i="4"/>
  <c r="B273" i="4"/>
  <c r="B115" i="4"/>
  <c r="D115" i="4" s="1"/>
  <c r="C325" i="4"/>
  <c r="C217" i="4"/>
  <c r="C222" i="4"/>
  <c r="B130" i="4"/>
  <c r="B177" i="4"/>
  <c r="D177" i="4" s="1"/>
  <c r="B249" i="4"/>
  <c r="C75" i="4"/>
  <c r="S15" i="6"/>
  <c r="C170" i="4"/>
  <c r="C194" i="4"/>
  <c r="B303" i="4"/>
  <c r="C126" i="4"/>
  <c r="S16" i="6"/>
  <c r="C167" i="4"/>
  <c r="B75" i="4"/>
  <c r="C143" i="4"/>
  <c r="C360" i="4"/>
  <c r="B262" i="4"/>
  <c r="B140" i="4"/>
  <c r="D140" i="4" s="1"/>
  <c r="C311" i="4"/>
  <c r="C23" i="4"/>
  <c r="C58" i="4"/>
  <c r="C242" i="4"/>
  <c r="C201" i="4"/>
  <c r="B122" i="4"/>
  <c r="B223" i="4"/>
  <c r="B334" i="4"/>
  <c r="C70" i="4"/>
  <c r="B236" i="4"/>
  <c r="S19" i="6"/>
  <c r="C28" i="4"/>
  <c r="C121" i="4"/>
  <c r="B51" i="4"/>
  <c r="D51" i="4" s="1"/>
  <c r="B350" i="4"/>
  <c r="C131" i="4"/>
  <c r="C332" i="4"/>
  <c r="C91" i="4"/>
  <c r="C103" i="4"/>
  <c r="C256" i="4"/>
  <c r="B133" i="4"/>
  <c r="C328" i="4"/>
  <c r="C107" i="4"/>
  <c r="B317" i="4"/>
  <c r="C84" i="4"/>
  <c r="B141" i="4"/>
  <c r="B127" i="4"/>
  <c r="D127" i="4" s="1"/>
  <c r="B53" i="4"/>
  <c r="D53" i="4" s="1"/>
  <c r="B102" i="4"/>
  <c r="B11" i="4"/>
  <c r="B241" i="4"/>
  <c r="D241" i="4" s="1"/>
  <c r="B319" i="4"/>
  <c r="B91" i="4"/>
  <c r="D91" i="4" s="1"/>
  <c r="C319" i="4"/>
  <c r="B154" i="4"/>
  <c r="D154" i="4" s="1"/>
  <c r="C206" i="4"/>
  <c r="C352" i="4"/>
  <c r="B306" i="4"/>
  <c r="D306" i="4" s="1"/>
  <c r="B321" i="4"/>
  <c r="C238" i="4"/>
  <c r="C224" i="4"/>
  <c r="B94" i="4"/>
  <c r="B78" i="4"/>
  <c r="B206" i="4"/>
  <c r="D206" i="4" s="1"/>
  <c r="C144" i="4"/>
  <c r="B301" i="4"/>
  <c r="B138" i="4"/>
  <c r="D138" i="4" s="1"/>
  <c r="B26" i="4"/>
  <c r="D26" i="4" s="1"/>
  <c r="C5" i="4"/>
  <c r="C347" i="4"/>
  <c r="C280" i="4"/>
  <c r="B363" i="4"/>
  <c r="D363" i="4" s="1"/>
  <c r="S9" i="6"/>
  <c r="B218" i="4"/>
  <c r="D218" i="4" s="1"/>
  <c r="C122" i="4"/>
  <c r="B207" i="4"/>
  <c r="B165" i="4"/>
  <c r="C246" i="4"/>
  <c r="C355" i="4"/>
  <c r="B112" i="4"/>
  <c r="D112" i="4" s="1"/>
  <c r="C26" i="4"/>
  <c r="B261" i="4"/>
  <c r="B281" i="4"/>
  <c r="C66" i="4"/>
  <c r="C293" i="4"/>
  <c r="C299" i="4"/>
  <c r="B134" i="4"/>
  <c r="D134" i="4" s="1"/>
  <c r="C76" i="4"/>
  <c r="C289" i="4"/>
  <c r="S32" i="6"/>
  <c r="B212" i="4"/>
  <c r="D212" i="4" s="1"/>
  <c r="C148" i="4"/>
  <c r="B224" i="4"/>
  <c r="D224" i="4" s="1"/>
  <c r="C361" i="4"/>
  <c r="C175" i="4"/>
  <c r="C176" i="4"/>
  <c r="B65" i="4"/>
  <c r="C67" i="4"/>
  <c r="S10" i="6"/>
  <c r="S31" i="6"/>
  <c r="C34" i="4"/>
  <c r="B313" i="4"/>
  <c r="B34" i="4"/>
  <c r="D34" i="4" s="1"/>
  <c r="B220" i="4"/>
  <c r="D220" i="4" s="1"/>
  <c r="C196" i="4"/>
  <c r="C274" i="4"/>
  <c r="C109" i="4"/>
  <c r="B179" i="4"/>
  <c r="B201" i="4"/>
  <c r="C85" i="4"/>
  <c r="C310" i="4"/>
  <c r="B289" i="4"/>
  <c r="C78" i="4"/>
  <c r="B107" i="4"/>
  <c r="D107" i="4" s="1"/>
  <c r="B104" i="4"/>
  <c r="D104" i="4" s="1"/>
  <c r="B106" i="4"/>
  <c r="B234" i="4"/>
  <c r="C292" i="4"/>
  <c r="B103" i="4"/>
  <c r="D103" i="4" s="1"/>
  <c r="B293" i="4"/>
  <c r="D293" i="4" s="1"/>
  <c r="B17" i="4"/>
  <c r="C18" i="4"/>
  <c r="C116" i="4"/>
  <c r="B83" i="4"/>
  <c r="B105" i="4"/>
  <c r="C27" i="4"/>
  <c r="C62" i="4"/>
  <c r="C11" i="4"/>
  <c r="C287" i="4"/>
  <c r="C213" i="4"/>
  <c r="C327" i="4"/>
  <c r="B231" i="4"/>
  <c r="B183" i="4"/>
  <c r="D183" i="4" s="1"/>
  <c r="B22" i="4"/>
  <c r="D22" i="4" s="1"/>
  <c r="C38" i="4"/>
  <c r="C268" i="4"/>
  <c r="B221" i="4"/>
  <c r="B198" i="4"/>
  <c r="D198" i="4" s="1"/>
  <c r="C200" i="4"/>
  <c r="S17" i="6"/>
  <c r="C30" i="4"/>
  <c r="C172" i="4"/>
  <c r="C346" i="4"/>
  <c r="B85" i="4"/>
  <c r="B56" i="4"/>
  <c r="C149" i="4"/>
  <c r="C266" i="4"/>
  <c r="B38" i="4"/>
  <c r="C46" i="4"/>
  <c r="B14" i="4"/>
  <c r="D14" i="4" s="1"/>
  <c r="B215" i="4"/>
  <c r="B159" i="4"/>
  <c r="B327" i="4"/>
  <c r="D327" i="4" s="1"/>
  <c r="C301" i="4"/>
  <c r="C277" i="4"/>
  <c r="C322" i="4"/>
  <c r="C112" i="4"/>
  <c r="C326" i="4"/>
  <c r="B323" i="4"/>
  <c r="B89" i="4"/>
  <c r="B355" i="4"/>
  <c r="C257" i="4"/>
  <c r="B44" i="4"/>
  <c r="C160" i="4"/>
  <c r="C210" i="4"/>
  <c r="C105" i="4"/>
  <c r="C294" i="4"/>
  <c r="C254" i="4"/>
  <c r="C264" i="4"/>
  <c r="B70" i="4"/>
  <c r="D70" i="4" s="1"/>
  <c r="B4" i="4"/>
  <c r="C185" i="4"/>
  <c r="C20" i="4"/>
  <c r="C21" i="4"/>
  <c r="C336" i="4"/>
  <c r="B79" i="4"/>
  <c r="C10" i="4"/>
  <c r="C214" i="4"/>
  <c r="S34" i="6"/>
  <c r="C345" i="4"/>
  <c r="C320" i="4"/>
  <c r="C135" i="4"/>
  <c r="B24" i="4"/>
  <c r="C146" i="4"/>
  <c r="C250" i="4"/>
  <c r="C191" i="4"/>
  <c r="B170" i="4"/>
  <c r="D170" i="4" s="1"/>
  <c r="B81" i="4"/>
  <c r="D81" i="4" s="1"/>
  <c r="C59" i="4"/>
  <c r="B12" i="4"/>
  <c r="C41" i="4"/>
  <c r="C204" i="4"/>
  <c r="C334" i="4"/>
  <c r="C285" i="4"/>
  <c r="B343" i="4"/>
  <c r="D343" i="4" s="1"/>
  <c r="C163" i="4"/>
  <c r="B30" i="4"/>
  <c r="S29" i="6"/>
  <c r="C115" i="4"/>
  <c r="C288" i="4"/>
  <c r="B176" i="4"/>
  <c r="D176" i="4" s="1"/>
  <c r="C118" i="4"/>
  <c r="C260" i="4"/>
  <c r="C330" i="4"/>
  <c r="B146" i="4"/>
  <c r="D146" i="4" s="1"/>
  <c r="C321" i="4"/>
  <c r="C94" i="4"/>
  <c r="B285" i="4"/>
  <c r="C51" i="4"/>
  <c r="B90" i="4"/>
  <c r="D90" i="4" s="1"/>
  <c r="B308" i="4"/>
  <c r="D308" i="4" s="1"/>
  <c r="C339" i="4"/>
  <c r="C128" i="4"/>
  <c r="B203" i="4"/>
  <c r="D203" i="4" s="1"/>
  <c r="C281" i="4"/>
  <c r="C245" i="4"/>
  <c r="C296" i="4"/>
  <c r="B10" i="4"/>
  <c r="D10" i="4" s="1"/>
  <c r="B339" i="4"/>
  <c r="D339" i="4" s="1"/>
  <c r="B88" i="4"/>
  <c r="D88" i="4" s="1"/>
  <c r="B158" i="4"/>
  <c r="C356" i="4"/>
  <c r="B92" i="4"/>
  <c r="B41" i="4"/>
  <c r="B42" i="4"/>
  <c r="D42" i="4" s="1"/>
  <c r="B263" i="4"/>
  <c r="D263" i="4" s="1"/>
  <c r="B311" i="4"/>
  <c r="D311" i="4" s="1"/>
  <c r="B66" i="4"/>
  <c r="D66" i="4" s="1"/>
  <c r="B84" i="4"/>
  <c r="C164" i="4"/>
  <c r="C295" i="4"/>
  <c r="B121" i="4"/>
  <c r="C24" i="4"/>
  <c r="B77" i="4"/>
  <c r="D77" i="4" s="1"/>
  <c r="S35" i="6"/>
  <c r="B195" i="4"/>
  <c r="B156" i="4"/>
  <c r="C162" i="4"/>
  <c r="C275" i="4"/>
  <c r="B208" i="4"/>
  <c r="D208" i="4" s="1"/>
  <c r="B219" i="4"/>
  <c r="D219" i="4" s="1"/>
  <c r="B202" i="4"/>
  <c r="C331" i="4"/>
  <c r="B228" i="4"/>
  <c r="B232" i="4"/>
  <c r="C340" i="4"/>
  <c r="B244" i="4"/>
  <c r="C130" i="4"/>
  <c r="B361" i="4"/>
  <c r="B255" i="4"/>
  <c r="B274" i="4"/>
  <c r="D274" i="4" s="1"/>
  <c r="B316" i="4"/>
  <c r="B157" i="4"/>
  <c r="D157" i="4" s="1"/>
  <c r="B312" i="4"/>
  <c r="D312" i="4" s="1"/>
  <c r="C290" i="4"/>
  <c r="B143" i="4"/>
  <c r="C203" i="4"/>
  <c r="C83" i="4"/>
  <c r="C297" i="4"/>
  <c r="B211" i="4"/>
  <c r="D211" i="4" s="1"/>
  <c r="C171" i="4"/>
  <c r="C337" i="4"/>
  <c r="B242" i="4"/>
  <c r="B29" i="4"/>
  <c r="D29" i="4" s="1"/>
  <c r="B226" i="4"/>
  <c r="D226" i="4" s="1"/>
  <c r="B246" i="4"/>
  <c r="D246" i="4" s="1"/>
  <c r="C317" i="4"/>
  <c r="C193" i="4"/>
  <c r="B253" i="4"/>
  <c r="D253" i="4" s="1"/>
  <c r="C231" i="4"/>
  <c r="B100" i="4"/>
  <c r="D100" i="4" s="1"/>
  <c r="B16" i="4"/>
  <c r="C186" i="4"/>
  <c r="B124" i="4"/>
  <c r="D124" i="4" s="1"/>
  <c r="B148" i="4"/>
  <c r="D148" i="4" s="1"/>
  <c r="C273" i="4"/>
  <c r="C39" i="4"/>
  <c r="C225" i="4"/>
  <c r="B338" i="4"/>
  <c r="C179" i="4"/>
  <c r="C279" i="4"/>
  <c r="C269" i="4"/>
  <c r="B336" i="4"/>
  <c r="C209" i="4"/>
  <c r="B166" i="4"/>
  <c r="B288" i="4"/>
  <c r="B7" i="4"/>
  <c r="D7" i="4" s="1"/>
  <c r="C64" i="4"/>
  <c r="C101" i="4"/>
  <c r="C227" i="4"/>
  <c r="S23" i="6"/>
  <c r="B340" i="4"/>
  <c r="B25" i="4"/>
  <c r="D25" i="4" s="1"/>
  <c r="B137" i="4"/>
  <c r="D137" i="4" s="1"/>
  <c r="C359" i="4"/>
  <c r="B181" i="4"/>
  <c r="B360" i="4"/>
  <c r="C44" i="4"/>
  <c r="C136" i="4"/>
  <c r="C161" i="4"/>
  <c r="C239" i="4"/>
  <c r="C208" i="4"/>
  <c r="C207" i="4"/>
  <c r="C357" i="4"/>
  <c r="B93" i="4"/>
  <c r="B237" i="4"/>
  <c r="D237" i="4" s="1"/>
  <c r="B62" i="4"/>
  <c r="D62" i="4" s="1"/>
  <c r="C142" i="4"/>
  <c r="C137" i="4"/>
  <c r="C71" i="4"/>
  <c r="B278" i="4"/>
  <c r="D278" i="4" s="1"/>
  <c r="B322" i="4"/>
  <c r="D322" i="4" s="1"/>
  <c r="C8" i="4"/>
  <c r="C147" i="4"/>
  <c r="B247" i="4"/>
  <c r="D247" i="4" s="1"/>
  <c r="B73" i="4"/>
  <c r="B57" i="4"/>
  <c r="B149" i="4"/>
  <c r="D149" i="4" s="1"/>
  <c r="B123" i="4"/>
  <c r="C54" i="4"/>
  <c r="C90" i="4"/>
  <c r="B216" i="4"/>
  <c r="B109" i="4"/>
  <c r="C180" i="4"/>
  <c r="S24" i="6"/>
  <c r="B266" i="4"/>
  <c r="B61" i="4"/>
  <c r="D61" i="4" s="1"/>
  <c r="B230" i="4"/>
  <c r="C80" i="4"/>
  <c r="D80" i="4" s="1"/>
  <c r="C251" i="4"/>
  <c r="B33" i="4"/>
  <c r="D33" i="4" s="1"/>
  <c r="B282" i="4"/>
  <c r="B67" i="4"/>
  <c r="D67" i="4" s="1"/>
  <c r="C104" i="4"/>
  <c r="B200" i="4"/>
  <c r="D200" i="4" s="1"/>
  <c r="S27" i="6"/>
  <c r="C192" i="4"/>
  <c r="B268" i="4"/>
  <c r="D268" i="4" s="1"/>
  <c r="B214" i="4"/>
  <c r="D214" i="4" s="1"/>
  <c r="B182" i="4"/>
  <c r="D182" i="4" s="1"/>
  <c r="B332" i="4"/>
  <c r="D332" i="4" s="1"/>
  <c r="B354" i="4"/>
  <c r="C333" i="4"/>
  <c r="C362" i="4"/>
  <c r="C166" i="4"/>
  <c r="B342" i="4"/>
  <c r="B279" i="4"/>
  <c r="D279" i="4" s="1"/>
  <c r="B49" i="4"/>
  <c r="D49" i="4" s="1"/>
  <c r="B145" i="4"/>
  <c r="D145" i="4" s="1"/>
  <c r="B167" i="4"/>
  <c r="C155" i="4"/>
  <c r="B9" i="4"/>
  <c r="C205" i="4"/>
  <c r="B96" i="4"/>
  <c r="D96" i="4" s="1"/>
  <c r="D43" i="6"/>
  <c r="C236" i="4"/>
  <c r="B240" i="4"/>
  <c r="B60" i="4"/>
  <c r="D60" i="4" s="1"/>
  <c r="C304" i="4"/>
  <c r="C338" i="4"/>
  <c r="C95" i="4"/>
  <c r="S26" i="6"/>
  <c r="C221" i="4"/>
  <c r="C68" i="4"/>
  <c r="B23" i="4"/>
  <c r="D23" i="4" s="1"/>
  <c r="S11" i="6"/>
  <c r="S13" i="6"/>
  <c r="C108" i="4"/>
  <c r="B64" i="4"/>
  <c r="B258" i="4"/>
  <c r="C50" i="4"/>
  <c r="C187" i="4"/>
  <c r="B58" i="4"/>
  <c r="D58" i="4" s="1"/>
  <c r="C154" i="4"/>
  <c r="B295" i="4"/>
  <c r="D295" i="4" s="1"/>
  <c r="B193" i="4"/>
  <c r="D193" i="4" s="1"/>
  <c r="B190" i="4"/>
  <c r="B326" i="4"/>
  <c r="D326" i="4" s="1"/>
  <c r="C15" i="4"/>
  <c r="B337" i="4"/>
  <c r="D337" i="4" s="1"/>
  <c r="C42" i="4"/>
  <c r="C98" i="4"/>
  <c r="B260" i="4"/>
  <c r="D260" i="4" s="1"/>
  <c r="B305" i="4"/>
  <c r="D305" i="4" s="1"/>
  <c r="C188" i="4"/>
  <c r="C218" i="4"/>
  <c r="B310" i="4"/>
  <c r="C243" i="4"/>
  <c r="C182" i="4"/>
  <c r="B161" i="4"/>
  <c r="B243" i="4"/>
  <c r="D243" i="4" s="1"/>
  <c r="S21" i="6"/>
  <c r="C342" i="4"/>
  <c r="E4" i="4"/>
  <c r="E5" i="4" s="1"/>
  <c r="E6" i="4" s="1"/>
  <c r="E7" i="4" s="1"/>
  <c r="E8" i="4" s="1"/>
  <c r="E9" i="4" s="1"/>
  <c r="B229" i="4"/>
  <c r="D229" i="4" s="1"/>
  <c r="C181" i="4"/>
  <c r="B248" i="4"/>
  <c r="C270" i="4"/>
  <c r="C55" i="4"/>
  <c r="B47" i="4"/>
  <c r="D47" i="4" s="1"/>
  <c r="B126" i="4"/>
  <c r="D126" i="4" s="1"/>
  <c r="C77" i="4"/>
  <c r="C233" i="4"/>
  <c r="C271" i="4"/>
  <c r="B362" i="4"/>
  <c r="D362" i="4" s="1"/>
  <c r="C92" i="4"/>
  <c r="C123" i="4"/>
  <c r="B153" i="4"/>
  <c r="D153" i="4" s="1"/>
  <c r="B5" i="4"/>
  <c r="D5" i="4" s="1"/>
  <c r="B31" i="4"/>
  <c r="B304" i="4"/>
  <c r="D304" i="4" s="1"/>
  <c r="C114" i="4"/>
  <c r="C165" i="4"/>
  <c r="B217" i="4"/>
  <c r="D217" i="4" s="1"/>
  <c r="B291" i="4"/>
  <c r="D291" i="4" s="1"/>
  <c r="B27" i="4"/>
  <c r="D27" i="4" s="1"/>
  <c r="B256" i="4"/>
  <c r="C283" i="4"/>
  <c r="B131" i="4"/>
  <c r="D131" i="4" s="1"/>
  <c r="C314" i="4"/>
  <c r="B280" i="4"/>
  <c r="B331" i="4"/>
  <c r="B37" i="4"/>
  <c r="D37" i="4" s="1"/>
  <c r="B151" i="4"/>
  <c r="D151" i="4" s="1"/>
  <c r="C248" i="4"/>
  <c r="B132" i="4"/>
  <c r="C252" i="4"/>
  <c r="S36" i="6"/>
  <c r="B162" i="4"/>
  <c r="B185" i="4"/>
  <c r="D185" i="4" s="1"/>
  <c r="B194" i="4"/>
  <c r="D194" i="4" s="1"/>
  <c r="B349" i="4"/>
  <c r="D349" i="4" s="1"/>
  <c r="C79" i="4"/>
  <c r="C6" i="4"/>
  <c r="C156" i="4"/>
  <c r="B174" i="4"/>
  <c r="D174" i="4" s="1"/>
  <c r="C139" i="4"/>
  <c r="B71" i="4"/>
  <c r="D71" i="4" s="1"/>
  <c r="C303" i="4"/>
  <c r="B245" i="4"/>
  <c r="D245" i="4" s="1"/>
  <c r="B250" i="4"/>
  <c r="B209" i="4"/>
  <c r="C211" i="4"/>
  <c r="C86" i="4"/>
  <c r="B265" i="4"/>
  <c r="D265" i="4" s="1"/>
  <c r="S12" i="6"/>
  <c r="B135" i="4"/>
  <c r="D135" i="4" s="1"/>
  <c r="B128" i="4"/>
  <c r="B213" i="4"/>
  <c r="B110" i="4"/>
  <c r="D110" i="4" s="1"/>
  <c r="C312" i="4"/>
  <c r="C234" i="4"/>
  <c r="C249" i="4"/>
  <c r="C19" i="4"/>
  <c r="C258" i="4"/>
  <c r="B356" i="4"/>
  <c r="D356" i="4" s="1"/>
  <c r="C226" i="4"/>
  <c r="C350" i="4"/>
  <c r="C56" i="4"/>
  <c r="B314" i="4"/>
  <c r="D314" i="4" s="1"/>
  <c r="B48" i="4"/>
  <c r="C113" i="4"/>
  <c r="B302" i="4"/>
  <c r="C74" i="4"/>
  <c r="C153" i="4"/>
  <c r="C127" i="4"/>
  <c r="B300" i="4"/>
  <c r="D300" i="4" s="1"/>
  <c r="B160" i="4"/>
  <c r="D160" i="4" s="1"/>
  <c r="B125" i="4"/>
  <c r="D125" i="4" s="1"/>
  <c r="B192" i="4"/>
  <c r="D192" i="4" s="1"/>
  <c r="B76" i="4"/>
  <c r="D76" i="4" s="1"/>
  <c r="C158" i="4"/>
  <c r="C244" i="4"/>
  <c r="C12" i="4"/>
  <c r="C223" i="4"/>
  <c r="B168" i="4"/>
  <c r="D168" i="4" s="1"/>
  <c r="C282" i="4"/>
  <c r="C261" i="4"/>
  <c r="C212" i="4"/>
  <c r="C65" i="4"/>
  <c r="B8" i="4"/>
  <c r="C100" i="4"/>
  <c r="B329" i="4"/>
  <c r="C308" i="4"/>
  <c r="C302" i="4"/>
  <c r="C232" i="4"/>
  <c r="C272" i="4"/>
  <c r="C159" i="4"/>
  <c r="B307" i="4"/>
  <c r="D307" i="4" s="1"/>
  <c r="C168" i="4"/>
  <c r="C267" i="4"/>
  <c r="B351" i="4"/>
  <c r="D351" i="4" s="1"/>
  <c r="C89" i="4"/>
  <c r="C286" i="4"/>
  <c r="C216" i="4"/>
  <c r="B175" i="4"/>
  <c r="D175" i="4" s="1"/>
  <c r="C150" i="4"/>
  <c r="C133" i="4"/>
  <c r="B187" i="4"/>
  <c r="D187" i="4" s="1"/>
  <c r="B227" i="4"/>
  <c r="D227" i="4" s="1"/>
  <c r="B347" i="4"/>
  <c r="D347" i="4" s="1"/>
  <c r="C40" i="4"/>
  <c r="B63" i="4"/>
  <c r="B19" i="4"/>
  <c r="C240" i="4"/>
  <c r="C57" i="4"/>
  <c r="B150" i="4"/>
  <c r="D150" i="4" s="1"/>
  <c r="C13" i="4"/>
  <c r="B298" i="4"/>
  <c r="D298" i="4" s="1"/>
  <c r="C335" i="4"/>
  <c r="C4" i="4"/>
  <c r="C169" i="4"/>
  <c r="B348" i="4"/>
  <c r="D348" i="4" s="1"/>
  <c r="B95" i="4"/>
  <c r="D95" i="4" s="1"/>
  <c r="C93" i="4"/>
  <c r="C31" i="4"/>
  <c r="B116" i="4"/>
  <c r="C45" i="4"/>
  <c r="C73" i="4"/>
  <c r="B264" i="4"/>
  <c r="D264" i="4" s="1"/>
  <c r="B357" i="4"/>
  <c r="B74" i="4"/>
  <c r="C22" i="4"/>
  <c r="C318" i="4"/>
  <c r="C63" i="4"/>
  <c r="C348" i="4"/>
  <c r="B210" i="4"/>
  <c r="D210" i="4" s="1"/>
  <c r="C61" i="4"/>
  <c r="S20" i="6"/>
  <c r="B225" i="4"/>
  <c r="B186" i="4"/>
  <c r="C190" i="4"/>
  <c r="B68" i="4"/>
  <c r="D68" i="4" s="1"/>
  <c r="B189" i="4"/>
  <c r="D189" i="4" s="1"/>
  <c r="C354" i="4"/>
  <c r="S28" i="6"/>
  <c r="C120" i="4"/>
  <c r="B87" i="4"/>
  <c r="D87" i="4" s="1"/>
  <c r="B171" i="4"/>
  <c r="D171" i="4" s="1"/>
  <c r="C102" i="4"/>
  <c r="C202" i="4"/>
  <c r="C265" i="4"/>
  <c r="S8" i="6"/>
  <c r="B21" i="4"/>
  <c r="C228" i="4"/>
  <c r="C88" i="4"/>
  <c r="C48" i="4"/>
  <c r="C343" i="4"/>
  <c r="B188" i="4"/>
  <c r="D188" i="4" s="1"/>
  <c r="S30" i="6"/>
  <c r="B284" i="4"/>
  <c r="D284" i="4" s="1"/>
  <c r="C141" i="4"/>
  <c r="B18" i="4"/>
  <c r="D18" i="4" s="1"/>
  <c r="B276" i="4"/>
  <c r="D276" i="4" s="1"/>
  <c r="B275" i="4"/>
  <c r="D275" i="4" s="1"/>
  <c r="B54" i="4"/>
  <c r="D54" i="4" s="1"/>
  <c r="C140" i="4"/>
  <c r="C329" i="4"/>
  <c r="C349" i="4"/>
  <c r="B335" i="4"/>
  <c r="D335" i="4" s="1"/>
  <c r="B114" i="4"/>
  <c r="C134" i="4"/>
  <c r="B163" i="4"/>
  <c r="D163" i="4" s="1"/>
  <c r="C99" i="4"/>
  <c r="C353" i="4"/>
  <c r="B238" i="4"/>
  <c r="C35" i="4"/>
  <c r="C259" i="4"/>
  <c r="B270" i="4"/>
  <c r="C72" i="4"/>
  <c r="C230" i="4"/>
  <c r="C178" i="4"/>
  <c r="C309" i="4"/>
  <c r="B299" i="4"/>
  <c r="D299" i="4" s="1"/>
  <c r="B204" i="4"/>
  <c r="D204" i="4" s="1"/>
  <c r="C255" i="4"/>
  <c r="C198" i="4"/>
  <c r="C262" i="4"/>
  <c r="C111" i="4"/>
  <c r="S7" i="6"/>
  <c r="H33" i="6"/>
  <c r="D22" i="12" s="1"/>
  <c r="D24" i="6"/>
  <c r="H37" i="6"/>
  <c r="P35" i="8"/>
  <c r="P12" i="8"/>
  <c r="P28" i="8"/>
  <c r="P33" i="8"/>
  <c r="P26" i="8"/>
  <c r="P30" i="8"/>
  <c r="P31" i="8"/>
  <c r="P23" i="8"/>
  <c r="P24" i="8"/>
  <c r="P21" i="8"/>
  <c r="P22" i="8"/>
  <c r="P19" i="8"/>
  <c r="P20" i="8"/>
  <c r="P17" i="8"/>
  <c r="P14" i="8"/>
  <c r="P11" i="8"/>
  <c r="P9" i="8"/>
  <c r="P18" i="8"/>
  <c r="P15" i="8"/>
  <c r="P16" i="8"/>
  <c r="P13" i="8"/>
  <c r="P10" i="8"/>
  <c r="P7" i="8"/>
  <c r="P8" i="8"/>
  <c r="P36" i="8"/>
  <c r="P29" i="8"/>
  <c r="P27" i="8"/>
  <c r="P34" i="8"/>
  <c r="P32" i="8"/>
  <c r="D26" i="8"/>
  <c r="C19" i="12" s="1"/>
  <c r="X6" i="8"/>
  <c r="Z6" i="8" s="1"/>
  <c r="P25" i="8"/>
  <c r="D40" i="8"/>
  <c r="I47" i="8"/>
  <c r="H33" i="8"/>
  <c r="D24" i="8"/>
  <c r="V27" i="10" l="1"/>
  <c r="I27" i="10"/>
  <c r="I26" i="10"/>
  <c r="V32" i="10"/>
  <c r="E25" i="11"/>
  <c r="E26" i="11" s="1"/>
  <c r="E27" i="11" s="1"/>
  <c r="V34" i="10"/>
  <c r="V28" i="10"/>
  <c r="F247" i="11"/>
  <c r="F306" i="11"/>
  <c r="F113" i="11"/>
  <c r="F360" i="11"/>
  <c r="F226" i="11"/>
  <c r="F239" i="11"/>
  <c r="F309" i="11"/>
  <c r="F207" i="11"/>
  <c r="F254" i="11"/>
  <c r="F188" i="11"/>
  <c r="F149" i="11"/>
  <c r="F89" i="11"/>
  <c r="F162" i="11"/>
  <c r="F233" i="11"/>
  <c r="F105" i="11"/>
  <c r="F351" i="11"/>
  <c r="F284" i="11"/>
  <c r="F145" i="11"/>
  <c r="F147" i="11"/>
  <c r="F38" i="11"/>
  <c r="F62" i="11"/>
  <c r="F99" i="11"/>
  <c r="F98" i="11"/>
  <c r="F320" i="11"/>
  <c r="F33" i="11"/>
  <c r="F214" i="11"/>
  <c r="F345" i="11"/>
  <c r="F202" i="11"/>
  <c r="F108" i="11"/>
  <c r="F26" i="11"/>
  <c r="F10" i="11"/>
  <c r="F237" i="11"/>
  <c r="F203" i="11"/>
  <c r="F125" i="11"/>
  <c r="F176" i="11"/>
  <c r="F28" i="11"/>
  <c r="F137" i="11"/>
  <c r="F234" i="11"/>
  <c r="F273" i="11"/>
  <c r="F107" i="11"/>
  <c r="F151" i="11"/>
  <c r="F302" i="11"/>
  <c r="F251" i="11"/>
  <c r="F356" i="11"/>
  <c r="F74" i="11"/>
  <c r="F208" i="11"/>
  <c r="F153" i="11"/>
  <c r="F197" i="11"/>
  <c r="F194" i="11"/>
  <c r="F94" i="11"/>
  <c r="F296" i="11"/>
  <c r="F277" i="11"/>
  <c r="F319" i="11"/>
  <c r="F56" i="11"/>
  <c r="F46" i="11"/>
  <c r="F322" i="11"/>
  <c r="F228" i="11"/>
  <c r="F265" i="11"/>
  <c r="F109" i="11"/>
  <c r="F164" i="11"/>
  <c r="F217" i="11"/>
  <c r="F325" i="11"/>
  <c r="F32" i="11"/>
  <c r="F80" i="11"/>
  <c r="F77" i="11"/>
  <c r="F261" i="11"/>
  <c r="F120" i="11"/>
  <c r="F224" i="11"/>
  <c r="F178" i="11"/>
  <c r="F216" i="11"/>
  <c r="F53" i="11"/>
  <c r="F72" i="11"/>
  <c r="F67" i="11"/>
  <c r="F279" i="11"/>
  <c r="F222" i="11"/>
  <c r="F127" i="11"/>
  <c r="F257" i="11"/>
  <c r="F173" i="11"/>
  <c r="F124" i="11"/>
  <c r="F9" i="11"/>
  <c r="F119" i="11"/>
  <c r="F24" i="11"/>
  <c r="F357" i="11"/>
  <c r="F210" i="11"/>
  <c r="F104" i="11"/>
  <c r="F106" i="11"/>
  <c r="F215" i="11"/>
  <c r="F274" i="11"/>
  <c r="F317" i="11"/>
  <c r="F158" i="11"/>
  <c r="F79" i="11"/>
  <c r="F169" i="11"/>
  <c r="F93" i="11"/>
  <c r="F177" i="11"/>
  <c r="F269" i="11"/>
  <c r="F88" i="11"/>
  <c r="F90" i="11"/>
  <c r="F82" i="11"/>
  <c r="F244" i="11"/>
  <c r="F230" i="11"/>
  <c r="F324" i="11"/>
  <c r="F75" i="11"/>
  <c r="F192" i="11"/>
  <c r="F7" i="11"/>
  <c r="F189" i="11"/>
  <c r="F332" i="11"/>
  <c r="F238" i="11"/>
  <c r="F352" i="11"/>
  <c r="F328" i="11"/>
  <c r="F131" i="11"/>
  <c r="F263" i="11"/>
  <c r="F235" i="11"/>
  <c r="F61" i="11"/>
  <c r="F290" i="11"/>
  <c r="F264" i="11"/>
  <c r="F150" i="11"/>
  <c r="F240" i="11"/>
  <c r="F294" i="11"/>
  <c r="F73" i="11"/>
  <c r="F301" i="11"/>
  <c r="F50" i="11"/>
  <c r="F112" i="11"/>
  <c r="F280" i="11"/>
  <c r="F44" i="11"/>
  <c r="F348" i="11"/>
  <c r="F16" i="11"/>
  <c r="F335" i="11"/>
  <c r="F14" i="11"/>
  <c r="F60" i="11"/>
  <c r="F167" i="11"/>
  <c r="F171" i="11"/>
  <c r="F157" i="11"/>
  <c r="F161" i="11"/>
  <c r="F314" i="11"/>
  <c r="F304" i="11"/>
  <c r="F281" i="11"/>
  <c r="F303" i="11"/>
  <c r="F358" i="11"/>
  <c r="F166" i="11"/>
  <c r="F289" i="11"/>
  <c r="F334" i="11"/>
  <c r="F64" i="11"/>
  <c r="F243" i="11"/>
  <c r="F242" i="11"/>
  <c r="F288" i="11"/>
  <c r="F66" i="11"/>
  <c r="F275" i="11"/>
  <c r="F246" i="11"/>
  <c r="F116" i="11"/>
  <c r="F39" i="11"/>
  <c r="F183" i="11"/>
  <c r="F136" i="11"/>
  <c r="F122" i="11"/>
  <c r="F35" i="11"/>
  <c r="F69" i="11"/>
  <c r="F31" i="11"/>
  <c r="F96" i="11"/>
  <c r="F191" i="11"/>
  <c r="F111" i="11"/>
  <c r="F19" i="11"/>
  <c r="F258" i="11"/>
  <c r="F154" i="11"/>
  <c r="F146" i="11"/>
  <c r="F144" i="11"/>
  <c r="F175" i="11"/>
  <c r="F293" i="11"/>
  <c r="F40" i="11"/>
  <c r="F278" i="11"/>
  <c r="F184" i="11"/>
  <c r="F225" i="11"/>
  <c r="F340" i="11"/>
  <c r="F321" i="11"/>
  <c r="F333" i="11"/>
  <c r="F15" i="11"/>
  <c r="F283" i="11"/>
  <c r="F21" i="11"/>
  <c r="F143" i="11"/>
  <c r="F168" i="11"/>
  <c r="F133" i="11"/>
  <c r="F27" i="11"/>
  <c r="F186" i="11"/>
  <c r="F326" i="11"/>
  <c r="F18" i="11"/>
  <c r="F362" i="11"/>
  <c r="F212" i="11"/>
  <c r="F86" i="11"/>
  <c r="F187" i="11"/>
  <c r="F85" i="11"/>
  <c r="F206" i="11"/>
  <c r="F5" i="11"/>
  <c r="F268" i="11"/>
  <c r="F37" i="11"/>
  <c r="F219" i="11"/>
  <c r="F315" i="11"/>
  <c r="F331" i="11"/>
  <c r="F270" i="11"/>
  <c r="F180" i="11"/>
  <c r="F55" i="11"/>
  <c r="F354" i="11"/>
  <c r="F276" i="11"/>
  <c r="F201" i="11"/>
  <c r="F42" i="11"/>
  <c r="F336" i="11"/>
  <c r="F229" i="11"/>
  <c r="F249" i="11"/>
  <c r="F350" i="11"/>
  <c r="F232" i="11"/>
  <c r="F81" i="11"/>
  <c r="F117" i="11"/>
  <c r="F123" i="11"/>
  <c r="F71" i="11"/>
  <c r="F338" i="11"/>
  <c r="F196" i="11"/>
  <c r="F236" i="11"/>
  <c r="F92" i="11"/>
  <c r="F13" i="11"/>
  <c r="F198" i="11"/>
  <c r="F172" i="11"/>
  <c r="F41" i="11"/>
  <c r="F95" i="11"/>
  <c r="F141" i="11"/>
  <c r="F134" i="11"/>
  <c r="F223" i="11"/>
  <c r="I45" i="10"/>
  <c r="F241" i="11"/>
  <c r="F204" i="11"/>
  <c r="F253" i="11"/>
  <c r="F359" i="11"/>
  <c r="F259" i="11"/>
  <c r="F159" i="11"/>
  <c r="F8" i="11"/>
  <c r="F195" i="11"/>
  <c r="F23" i="11"/>
  <c r="F114" i="11"/>
  <c r="F17" i="11"/>
  <c r="F218" i="11"/>
  <c r="F49" i="11"/>
  <c r="F36" i="11"/>
  <c r="F271" i="11"/>
  <c r="F91" i="11"/>
  <c r="F266" i="11"/>
  <c r="F129" i="11"/>
  <c r="F323" i="11"/>
  <c r="F6" i="11"/>
  <c r="F330" i="11"/>
  <c r="F185" i="11"/>
  <c r="F248" i="11"/>
  <c r="F163" i="11"/>
  <c r="F272" i="11"/>
  <c r="F313" i="11"/>
  <c r="F256" i="11"/>
  <c r="F87" i="11"/>
  <c r="F199" i="11"/>
  <c r="F126" i="11"/>
  <c r="F121" i="11"/>
  <c r="F252" i="11"/>
  <c r="F255" i="11"/>
  <c r="F209" i="11"/>
  <c r="F78" i="11"/>
  <c r="F341" i="11"/>
  <c r="F231" i="11"/>
  <c r="F250" i="11"/>
  <c r="F316" i="11"/>
  <c r="F337" i="11"/>
  <c r="F349" i="11"/>
  <c r="F142" i="11"/>
  <c r="F11" i="11"/>
  <c r="F43" i="11"/>
  <c r="F135" i="11"/>
  <c r="F310" i="11"/>
  <c r="F305" i="11"/>
  <c r="F48" i="11"/>
  <c r="F83" i="11"/>
  <c r="F343" i="11"/>
  <c r="F30" i="11"/>
  <c r="F174" i="11"/>
  <c r="F84" i="11"/>
  <c r="F342" i="11"/>
  <c r="F300" i="11"/>
  <c r="F132" i="11"/>
  <c r="F63" i="11"/>
  <c r="F346" i="11"/>
  <c r="F298" i="11"/>
  <c r="F70" i="11"/>
  <c r="F262" i="11"/>
  <c r="F363" i="11"/>
  <c r="F311" i="11"/>
  <c r="F282" i="11"/>
  <c r="F355" i="11"/>
  <c r="F179" i="11"/>
  <c r="F115" i="11"/>
  <c r="F160" i="11"/>
  <c r="F285" i="11"/>
  <c r="F54" i="11"/>
  <c r="F20" i="11"/>
  <c r="F260" i="11"/>
  <c r="F291" i="11"/>
  <c r="F193" i="11"/>
  <c r="F182" i="11"/>
  <c r="F353" i="11"/>
  <c r="F307" i="11"/>
  <c r="F245" i="11"/>
  <c r="F181" i="11"/>
  <c r="F68" i="11"/>
  <c r="F227" i="11"/>
  <c r="F213" i="11"/>
  <c r="F47" i="11"/>
  <c r="F156" i="11"/>
  <c r="F312" i="11"/>
  <c r="F155" i="11"/>
  <c r="H25" i="10"/>
  <c r="F103" i="11"/>
  <c r="F148" i="11"/>
  <c r="F110" i="11"/>
  <c r="F308" i="11"/>
  <c r="F22" i="11"/>
  <c r="F52" i="11"/>
  <c r="F101" i="11"/>
  <c r="F130" i="11"/>
  <c r="F118" i="11"/>
  <c r="F318" i="11"/>
  <c r="F165" i="11"/>
  <c r="F292" i="11"/>
  <c r="F299" i="11"/>
  <c r="F59" i="11"/>
  <c r="F76" i="11"/>
  <c r="F211" i="11"/>
  <c r="F327" i="11"/>
  <c r="F128" i="11"/>
  <c r="F138" i="11"/>
  <c r="F25" i="11"/>
  <c r="F34" i="11"/>
  <c r="F295" i="11"/>
  <c r="F205" i="11"/>
  <c r="F220" i="11"/>
  <c r="F45" i="11"/>
  <c r="F57" i="11"/>
  <c r="F12" i="11"/>
  <c r="F267" i="11"/>
  <c r="F100" i="11"/>
  <c r="F344" i="11"/>
  <c r="F329" i="11"/>
  <c r="F190" i="11"/>
  <c r="F139" i="11"/>
  <c r="F297" i="11"/>
  <c r="F102" i="11"/>
  <c r="F29" i="11"/>
  <c r="F170" i="11"/>
  <c r="F286" i="11"/>
  <c r="F65" i="11"/>
  <c r="F339" i="11"/>
  <c r="F152" i="11"/>
  <c r="F361" i="11"/>
  <c r="F347" i="11"/>
  <c r="F51" i="11"/>
  <c r="F97" i="11"/>
  <c r="F221" i="11"/>
  <c r="F287" i="11"/>
  <c r="F58" i="11"/>
  <c r="F200" i="11"/>
  <c r="F4" i="11"/>
  <c r="G4" i="11" s="1"/>
  <c r="F140" i="11"/>
  <c r="V36" i="10"/>
  <c r="E10" i="4"/>
  <c r="E11" i="4" s="1"/>
  <c r="E12" i="4" s="1"/>
  <c r="E13" i="4" s="1"/>
  <c r="E14" i="4" s="1"/>
  <c r="E15" i="4" s="1"/>
  <c r="E16" i="4" s="1"/>
  <c r="E17" i="4" s="1"/>
  <c r="E18" i="4" s="1"/>
  <c r="E19" i="4" s="1"/>
  <c r="E20" i="4" s="1"/>
  <c r="E21" i="4" s="1"/>
  <c r="E22" i="4" s="1"/>
  <c r="E23" i="4" s="1"/>
  <c r="E24" i="4" s="1"/>
  <c r="E25" i="4" s="1"/>
  <c r="E26" i="4" s="1"/>
  <c r="E27" i="4" s="1"/>
  <c r="E28" i="4" s="1"/>
  <c r="E29" i="4" s="1"/>
  <c r="E30" i="4" s="1"/>
  <c r="E31" i="4" s="1"/>
  <c r="E32" i="4" s="1"/>
  <c r="E33" i="4" s="1"/>
  <c r="E34" i="4" s="1"/>
  <c r="E35" i="4" s="1"/>
  <c r="E36" i="4" s="1"/>
  <c r="E37" i="4" s="1"/>
  <c r="E38" i="4" s="1"/>
  <c r="E39" i="4" s="1"/>
  <c r="E40" i="4" s="1"/>
  <c r="E41" i="4" s="1"/>
  <c r="E42" i="4" s="1"/>
  <c r="E43" i="4" s="1"/>
  <c r="E44" i="4" s="1"/>
  <c r="E45" i="4" s="1"/>
  <c r="E46" i="4" s="1"/>
  <c r="E47" i="4" s="1"/>
  <c r="E48" i="4" s="1"/>
  <c r="E49" i="4" s="1"/>
  <c r="E50" i="4" s="1"/>
  <c r="E51" i="4" s="1"/>
  <c r="E52" i="4" s="1"/>
  <c r="E53" i="4" s="1"/>
  <c r="E54" i="4" s="1"/>
  <c r="E55" i="4" s="1"/>
  <c r="E56" i="4" s="1"/>
  <c r="E57" i="4" s="1"/>
  <c r="E58" i="4" s="1"/>
  <c r="E59" i="4" s="1"/>
  <c r="E60" i="4" s="1"/>
  <c r="E61" i="4" s="1"/>
  <c r="E62" i="4" s="1"/>
  <c r="E63" i="4" s="1"/>
  <c r="E64" i="4" s="1"/>
  <c r="E65" i="4" s="1"/>
  <c r="E66" i="4" s="1"/>
  <c r="E67" i="4" s="1"/>
  <c r="E68" i="4" s="1"/>
  <c r="E69" i="4" s="1"/>
  <c r="E70" i="4" s="1"/>
  <c r="E71" i="4" s="1"/>
  <c r="E72" i="4" s="1"/>
  <c r="E73" i="4" s="1"/>
  <c r="E74" i="4" s="1"/>
  <c r="E75" i="4" s="1"/>
  <c r="E76" i="4" s="1"/>
  <c r="E77" i="4" s="1"/>
  <c r="E78" i="4" s="1"/>
  <c r="E79" i="4" s="1"/>
  <c r="E80" i="4" s="1"/>
  <c r="E81" i="4" s="1"/>
  <c r="E82" i="4" s="1"/>
  <c r="E83" i="4" s="1"/>
  <c r="E84" i="4" s="1"/>
  <c r="E85" i="4" s="1"/>
  <c r="E86" i="4" s="1"/>
  <c r="E87" i="4" s="1"/>
  <c r="E88" i="4" s="1"/>
  <c r="E89" i="4" s="1"/>
  <c r="E90" i="4" s="1"/>
  <c r="E91" i="4" s="1"/>
  <c r="E92" i="4" s="1"/>
  <c r="E93" i="4" s="1"/>
  <c r="E94" i="4" s="1"/>
  <c r="E95" i="4" s="1"/>
  <c r="E96" i="4" s="1"/>
  <c r="E97" i="4" s="1"/>
  <c r="E98" i="4" s="1"/>
  <c r="E99" i="4" s="1"/>
  <c r="E100" i="4" s="1"/>
  <c r="E101" i="4" s="1"/>
  <c r="E102" i="4" s="1"/>
  <c r="E103" i="4" s="1"/>
  <c r="E104" i="4" s="1"/>
  <c r="E105" i="4" s="1"/>
  <c r="E106" i="4" s="1"/>
  <c r="E107" i="4" s="1"/>
  <c r="E108" i="4" s="1"/>
  <c r="E109" i="4" s="1"/>
  <c r="E110" i="4" s="1"/>
  <c r="E111" i="4" s="1"/>
  <c r="E112" i="4" s="1"/>
  <c r="E113" i="4" s="1"/>
  <c r="E114" i="4" s="1"/>
  <c r="E115" i="4" s="1"/>
  <c r="E116" i="4" s="1"/>
  <c r="E117" i="4" s="1"/>
  <c r="E118" i="4" s="1"/>
  <c r="E119" i="4" s="1"/>
  <c r="E120" i="4" s="1"/>
  <c r="E121" i="4" s="1"/>
  <c r="E122" i="4" s="1"/>
  <c r="E123" i="4" s="1"/>
  <c r="E124" i="4" s="1"/>
  <c r="E125" i="4" s="1"/>
  <c r="E126" i="4" s="1"/>
  <c r="E127" i="4" s="1"/>
  <c r="E128" i="4" s="1"/>
  <c r="E129" i="4" s="1"/>
  <c r="E130" i="4" s="1"/>
  <c r="E131" i="4" s="1"/>
  <c r="E132" i="4" s="1"/>
  <c r="E133" i="4" s="1"/>
  <c r="E134" i="4" s="1"/>
  <c r="E135" i="4" s="1"/>
  <c r="E136" i="4" s="1"/>
  <c r="E137" i="4" s="1"/>
  <c r="E138" i="4" s="1"/>
  <c r="E139" i="4" s="1"/>
  <c r="E140" i="4" s="1"/>
  <c r="E141" i="4" s="1"/>
  <c r="E142" i="4" s="1"/>
  <c r="E143" i="4" s="1"/>
  <c r="E144" i="4" s="1"/>
  <c r="E145" i="4" s="1"/>
  <c r="E146" i="4" s="1"/>
  <c r="E147" i="4" s="1"/>
  <c r="E148" i="4" s="1"/>
  <c r="E149" i="4" s="1"/>
  <c r="E150" i="4" s="1"/>
  <c r="E151" i="4" s="1"/>
  <c r="E152" i="4" s="1"/>
  <c r="E153" i="4" s="1"/>
  <c r="E154" i="4" s="1"/>
  <c r="E155" i="4" s="1"/>
  <c r="E156" i="4" s="1"/>
  <c r="E157" i="4" s="1"/>
  <c r="E158" i="4" s="1"/>
  <c r="E159" i="4" s="1"/>
  <c r="E160" i="4" s="1"/>
  <c r="E161" i="4" s="1"/>
  <c r="E162" i="4" s="1"/>
  <c r="E163" i="4" s="1"/>
  <c r="E164" i="4" s="1"/>
  <c r="E165" i="4" s="1"/>
  <c r="E166" i="4" s="1"/>
  <c r="E167" i="4" s="1"/>
  <c r="E168" i="4" s="1"/>
  <c r="E169" i="4" s="1"/>
  <c r="E170" i="4" s="1"/>
  <c r="E171" i="4" s="1"/>
  <c r="E172" i="4" s="1"/>
  <c r="E173" i="4" s="1"/>
  <c r="E174" i="4" s="1"/>
  <c r="E175" i="4" s="1"/>
  <c r="E176" i="4" s="1"/>
  <c r="E177" i="4" s="1"/>
  <c r="E178" i="4" s="1"/>
  <c r="E179" i="4" s="1"/>
  <c r="E180" i="4" s="1"/>
  <c r="E181" i="4" s="1"/>
  <c r="E182" i="4" s="1"/>
  <c r="E183" i="4" s="1"/>
  <c r="D215" i="4"/>
  <c r="D225" i="4"/>
  <c r="D161" i="4"/>
  <c r="D167" i="4"/>
  <c r="D255" i="4"/>
  <c r="D12" i="4"/>
  <c r="D270" i="4"/>
  <c r="U20" i="6"/>
  <c r="D213" i="4"/>
  <c r="D162" i="4"/>
  <c r="D64" i="4"/>
  <c r="D361" i="4"/>
  <c r="D84" i="4"/>
  <c r="D201" i="4"/>
  <c r="D102" i="4"/>
  <c r="D155" i="4"/>
  <c r="D59" i="4"/>
  <c r="D330" i="4"/>
  <c r="D45" i="6"/>
  <c r="D48" i="6" s="1"/>
  <c r="D55" i="6" s="1"/>
  <c r="E43" i="6"/>
  <c r="E45" i="6" s="1"/>
  <c r="E48" i="6" s="1"/>
  <c r="E55" i="6" s="1"/>
  <c r="D186" i="4"/>
  <c r="D4" i="4"/>
  <c r="D31" i="4"/>
  <c r="D258" i="4"/>
  <c r="D128" i="4"/>
  <c r="D230" i="4"/>
  <c r="D285" i="4"/>
  <c r="D38" i="4"/>
  <c r="D179" i="4"/>
  <c r="D334" i="4"/>
  <c r="U15" i="6"/>
  <c r="D108" i="4"/>
  <c r="D86" i="4"/>
  <c r="D99" i="4"/>
  <c r="D244" i="4"/>
  <c r="U11" i="6"/>
  <c r="D342" i="4"/>
  <c r="D266" i="4"/>
  <c r="D288" i="4"/>
  <c r="D301" i="4"/>
  <c r="D141" i="4"/>
  <c r="D122" i="4"/>
  <c r="D249" i="4"/>
  <c r="D297" i="4"/>
  <c r="D45" i="4"/>
  <c r="D251" i="4"/>
  <c r="D164" i="4"/>
  <c r="D119" i="4"/>
  <c r="D350" i="4"/>
  <c r="U9" i="6"/>
  <c r="D310" i="4"/>
  <c r="U13" i="6"/>
  <c r="D223" i="4"/>
  <c r="D283" i="4"/>
  <c r="D36" i="10"/>
  <c r="D38" i="10" s="1"/>
  <c r="D36" i="6"/>
  <c r="D38" i="6" s="1"/>
  <c r="D238" i="4"/>
  <c r="U12" i="6"/>
  <c r="D132" i="4"/>
  <c r="D56" i="4"/>
  <c r="D105" i="4"/>
  <c r="D233" i="4"/>
  <c r="D169" i="4"/>
  <c r="D344" i="4"/>
  <c r="D93" i="4"/>
  <c r="D166" i="4"/>
  <c r="D232" i="4"/>
  <c r="D21" i="4"/>
  <c r="D19" i="4"/>
  <c r="D228" i="4"/>
  <c r="D41" i="4"/>
  <c r="D85" i="4"/>
  <c r="D83" i="4"/>
  <c r="D317" i="4"/>
  <c r="D130" i="4"/>
  <c r="D55" i="4"/>
  <c r="U8" i="6"/>
  <c r="D63" i="4"/>
  <c r="D329" i="4"/>
  <c r="D302" i="4"/>
  <c r="D109" i="4"/>
  <c r="D336" i="4"/>
  <c r="D242" i="4"/>
  <c r="D92" i="4"/>
  <c r="D24" i="4"/>
  <c r="D44" i="4"/>
  <c r="D281" i="4"/>
  <c r="D78" i="4"/>
  <c r="D72" i="4"/>
  <c r="D354" i="4"/>
  <c r="D216" i="4"/>
  <c r="D202" i="4"/>
  <c r="D313" i="4"/>
  <c r="D261" i="4"/>
  <c r="D94" i="4"/>
  <c r="D205" i="4"/>
  <c r="D20" i="4"/>
  <c r="D272" i="4"/>
  <c r="R10" i="6"/>
  <c r="R29" i="6"/>
  <c r="R34" i="6"/>
  <c r="R25" i="6"/>
  <c r="R22" i="6"/>
  <c r="R9" i="6"/>
  <c r="R36" i="6"/>
  <c r="R33" i="6"/>
  <c r="R31" i="6"/>
  <c r="R23" i="6"/>
  <c r="R11" i="6"/>
  <c r="R15" i="6"/>
  <c r="R27" i="6"/>
  <c r="R24" i="6"/>
  <c r="R18" i="6"/>
  <c r="R19" i="6"/>
  <c r="R14" i="6"/>
  <c r="R16" i="6"/>
  <c r="R12" i="6"/>
  <c r="R35" i="6"/>
  <c r="R21" i="6"/>
  <c r="R17" i="6"/>
  <c r="R20" i="6"/>
  <c r="R26" i="6"/>
  <c r="R7" i="6"/>
  <c r="R30" i="6"/>
  <c r="R8" i="6"/>
  <c r="R32" i="6"/>
  <c r="R13" i="6"/>
  <c r="R28" i="6"/>
  <c r="D74" i="4"/>
  <c r="D209" i="4"/>
  <c r="D331" i="4"/>
  <c r="D114" i="4"/>
  <c r="D357" i="4"/>
  <c r="D8" i="4"/>
  <c r="D48" i="4"/>
  <c r="D250" i="4"/>
  <c r="D280" i="4"/>
  <c r="D158" i="4"/>
  <c r="D355" i="4"/>
  <c r="D17" i="4"/>
  <c r="D133" i="4"/>
  <c r="D328" i="4"/>
  <c r="D294" i="4"/>
  <c r="U18" i="6"/>
  <c r="D129" i="4"/>
  <c r="U7" i="6"/>
  <c r="D89" i="4"/>
  <c r="U17" i="6"/>
  <c r="D123" i="4"/>
  <c r="D338" i="4"/>
  <c r="D323" i="4"/>
  <c r="U10" i="6"/>
  <c r="D321" i="4"/>
  <c r="D262" i="4"/>
  <c r="D273" i="4"/>
  <c r="D345" i="4"/>
  <c r="D292" i="4"/>
  <c r="D254" i="4"/>
  <c r="D35" i="4"/>
  <c r="D239" i="4"/>
  <c r="D286" i="4"/>
  <c r="D259" i="4"/>
  <c r="D172" i="4"/>
  <c r="D116" i="4"/>
  <c r="D256" i="4"/>
  <c r="D248" i="4"/>
  <c r="D190" i="4"/>
  <c r="D240" i="4"/>
  <c r="D57" i="4"/>
  <c r="D360" i="4"/>
  <c r="D156" i="4"/>
  <c r="D30" i="4"/>
  <c r="D221" i="4"/>
  <c r="D234" i="4"/>
  <c r="D65" i="4"/>
  <c r="D165" i="4"/>
  <c r="D271" i="4"/>
  <c r="D40" i="4"/>
  <c r="D269" i="4"/>
  <c r="D359" i="4"/>
  <c r="D73" i="4"/>
  <c r="D181" i="4"/>
  <c r="D143" i="4"/>
  <c r="D195" i="4"/>
  <c r="D79" i="4"/>
  <c r="D106" i="4"/>
  <c r="D207" i="4"/>
  <c r="D75" i="4"/>
  <c r="D333" i="4"/>
  <c r="D15" i="4"/>
  <c r="D252" i="4"/>
  <c r="D118" i="4"/>
  <c r="D290" i="4"/>
  <c r="U14" i="6"/>
  <c r="D277" i="4"/>
  <c r="D136" i="4"/>
  <c r="D235" i="4"/>
  <c r="D69" i="4"/>
  <c r="U16" i="6"/>
  <c r="D257" i="4"/>
  <c r="D144" i="4"/>
  <c r="D315" i="4"/>
  <c r="D346" i="4"/>
  <c r="D82" i="4"/>
  <c r="D191" i="4"/>
  <c r="D46" i="4"/>
  <c r="D341" i="4"/>
  <c r="D111" i="4"/>
  <c r="D267" i="4"/>
  <c r="D152" i="4"/>
  <c r="D318" i="4"/>
  <c r="U21" i="6"/>
  <c r="D9" i="4"/>
  <c r="D282" i="4"/>
  <c r="D340" i="4"/>
  <c r="D16" i="4"/>
  <c r="D316" i="4"/>
  <c r="D121" i="4"/>
  <c r="D159" i="4"/>
  <c r="D231" i="4"/>
  <c r="D289" i="4"/>
  <c r="D319" i="4"/>
  <c r="D325" i="4"/>
  <c r="D353" i="4"/>
  <c r="D50" i="4"/>
  <c r="U19" i="6"/>
  <c r="D303" i="4"/>
  <c r="D309" i="4"/>
  <c r="D147" i="4"/>
  <c r="D287" i="4"/>
  <c r="D6" i="4"/>
  <c r="D199" i="4"/>
  <c r="D11" i="4"/>
  <c r="D236" i="4"/>
  <c r="D178" i="4"/>
  <c r="D13" i="4"/>
  <c r="D142" i="4"/>
  <c r="H36" i="8"/>
  <c r="C22" i="12"/>
  <c r="D47" i="8"/>
  <c r="H26" i="8" s="1"/>
  <c r="E40" i="8"/>
  <c r="E47" i="8" s="1"/>
  <c r="R28" i="8"/>
  <c r="R31" i="8"/>
  <c r="R21" i="8"/>
  <c r="R25" i="8"/>
  <c r="R24" i="8"/>
  <c r="R22" i="8"/>
  <c r="R16" i="8"/>
  <c r="R13" i="8"/>
  <c r="R14" i="8"/>
  <c r="R20" i="8"/>
  <c r="R12" i="8"/>
  <c r="R9" i="8"/>
  <c r="R36" i="8"/>
  <c r="R35" i="8"/>
  <c r="R10" i="8"/>
  <c r="R18" i="8"/>
  <c r="R8" i="8"/>
  <c r="R27" i="8"/>
  <c r="R29" i="8"/>
  <c r="R34" i="8"/>
  <c r="R26" i="8"/>
  <c r="R30" i="8"/>
  <c r="R23" i="8"/>
  <c r="R19" i="8"/>
  <c r="R32" i="8"/>
  <c r="R17" i="8"/>
  <c r="R11" i="8"/>
  <c r="R15" i="8"/>
  <c r="R7" i="8"/>
  <c r="R33" i="8"/>
  <c r="U8" i="10" l="1"/>
  <c r="N8" i="10" s="1"/>
  <c r="E28" i="11"/>
  <c r="E29" i="11" s="1"/>
  <c r="E30" i="11" s="1"/>
  <c r="E31" i="11" s="1"/>
  <c r="E32" i="11" s="1"/>
  <c r="E33" i="11" s="1"/>
  <c r="E34" i="11" s="1"/>
  <c r="E35" i="11" s="1"/>
  <c r="E36" i="11" s="1"/>
  <c r="E37" i="11" s="1"/>
  <c r="E38" i="11" s="1"/>
  <c r="E39" i="11" s="1"/>
  <c r="H27" i="10"/>
  <c r="D28" i="10" s="1"/>
  <c r="H26" i="10"/>
  <c r="W35" i="10"/>
  <c r="W7" i="10"/>
  <c r="W18" i="10"/>
  <c r="W27" i="10"/>
  <c r="W19" i="10"/>
  <c r="W10" i="10"/>
  <c r="W23" i="10"/>
  <c r="W28" i="10"/>
  <c r="W36" i="10"/>
  <c r="W17" i="10"/>
  <c r="W25" i="10"/>
  <c r="W24" i="10"/>
  <c r="W26" i="10"/>
  <c r="W13" i="10"/>
  <c r="W29" i="10"/>
  <c r="W30" i="10"/>
  <c r="W11" i="10"/>
  <c r="W32" i="10"/>
  <c r="W33" i="10"/>
  <c r="W14" i="10"/>
  <c r="W16" i="10"/>
  <c r="W22" i="10"/>
  <c r="W20" i="10"/>
  <c r="W21" i="10"/>
  <c r="W9" i="10"/>
  <c r="W15" i="10"/>
  <c r="W12" i="10"/>
  <c r="W34" i="10"/>
  <c r="W8" i="10"/>
  <c r="W31" i="10"/>
  <c r="G5" i="11"/>
  <c r="G6" i="11" s="1"/>
  <c r="G7" i="11" s="1"/>
  <c r="G8" i="11" s="1"/>
  <c r="G9" i="11" s="1"/>
  <c r="G10" i="11" s="1"/>
  <c r="G11" i="11" s="1"/>
  <c r="G12" i="11" s="1"/>
  <c r="G13" i="11" s="1"/>
  <c r="G14" i="11" s="1"/>
  <c r="G15" i="11" s="1"/>
  <c r="G16" i="11" s="1"/>
  <c r="G17" i="11" s="1"/>
  <c r="G18" i="11" s="1"/>
  <c r="G19" i="11" s="1"/>
  <c r="G20" i="11" s="1"/>
  <c r="G21" i="11" s="1"/>
  <c r="G22" i="11" s="1"/>
  <c r="G23" i="11" s="1"/>
  <c r="G24" i="11" s="1"/>
  <c r="G25" i="11" s="1"/>
  <c r="G26" i="11" s="1"/>
  <c r="G27" i="11" s="1"/>
  <c r="G28" i="11" s="1"/>
  <c r="G29" i="11" s="1"/>
  <c r="G30" i="11" s="1"/>
  <c r="G31" i="11" s="1"/>
  <c r="G32" i="11" s="1"/>
  <c r="G33" i="11" s="1"/>
  <c r="G34" i="11" s="1"/>
  <c r="G35" i="11" s="1"/>
  <c r="G36" i="11" s="1"/>
  <c r="G37" i="11" s="1"/>
  <c r="G38" i="11" s="1"/>
  <c r="G39" i="11" s="1"/>
  <c r="G40" i="11" s="1"/>
  <c r="G41" i="11" s="1"/>
  <c r="G42" i="11" s="1"/>
  <c r="G43" i="11" s="1"/>
  <c r="G44" i="11" s="1"/>
  <c r="G45" i="11" s="1"/>
  <c r="G46" i="11" s="1"/>
  <c r="G47" i="11" s="1"/>
  <c r="G48" i="11" s="1"/>
  <c r="G49" i="11" s="1"/>
  <c r="G50" i="11" s="1"/>
  <c r="G51" i="11" s="1"/>
  <c r="G52" i="11" s="1"/>
  <c r="G53" i="11" s="1"/>
  <c r="G54" i="11" s="1"/>
  <c r="G55" i="11" s="1"/>
  <c r="G56" i="11" s="1"/>
  <c r="G57" i="11" s="1"/>
  <c r="G58" i="11" s="1"/>
  <c r="G59" i="11" s="1"/>
  <c r="G60" i="11" s="1"/>
  <c r="G61" i="11" s="1"/>
  <c r="G62" i="11" s="1"/>
  <c r="G63" i="11" s="1"/>
  <c r="G64" i="11" s="1"/>
  <c r="G65" i="11" s="1"/>
  <c r="G66" i="11" s="1"/>
  <c r="G67" i="11" s="1"/>
  <c r="G68" i="11" s="1"/>
  <c r="G69" i="11" s="1"/>
  <c r="G70" i="11" s="1"/>
  <c r="G71" i="11" s="1"/>
  <c r="G72" i="11" s="1"/>
  <c r="G73" i="11" s="1"/>
  <c r="G74" i="11" s="1"/>
  <c r="G75" i="11" s="1"/>
  <c r="G76" i="11" s="1"/>
  <c r="G77" i="11" s="1"/>
  <c r="G78" i="11" s="1"/>
  <c r="G79" i="11" s="1"/>
  <c r="G80" i="11" s="1"/>
  <c r="G81" i="11" s="1"/>
  <c r="G82" i="11" s="1"/>
  <c r="G83" i="11" s="1"/>
  <c r="G84" i="11" s="1"/>
  <c r="G85" i="11" s="1"/>
  <c r="G86" i="11" s="1"/>
  <c r="G87" i="11" s="1"/>
  <c r="G88" i="11" s="1"/>
  <c r="G89" i="11" s="1"/>
  <c r="G90" i="11" s="1"/>
  <c r="G91" i="11" s="1"/>
  <c r="G92" i="11" s="1"/>
  <c r="G93" i="11" s="1"/>
  <c r="G94" i="11" s="1"/>
  <c r="G95" i="11" s="1"/>
  <c r="G96" i="11" s="1"/>
  <c r="G97" i="11" s="1"/>
  <c r="G98" i="11" s="1"/>
  <c r="G99" i="11" s="1"/>
  <c r="G100" i="11" s="1"/>
  <c r="G101" i="11" s="1"/>
  <c r="G102" i="11" s="1"/>
  <c r="G103" i="11" s="1"/>
  <c r="G104" i="11" s="1"/>
  <c r="G105" i="11" s="1"/>
  <c r="G106" i="11" s="1"/>
  <c r="G107" i="11" s="1"/>
  <c r="G108" i="11" s="1"/>
  <c r="G109" i="11" s="1"/>
  <c r="G110" i="11" s="1"/>
  <c r="G111" i="11" s="1"/>
  <c r="G112" i="11" s="1"/>
  <c r="G113" i="11" s="1"/>
  <c r="G114" i="11" s="1"/>
  <c r="G115" i="11" s="1"/>
  <c r="G116" i="11" s="1"/>
  <c r="G117" i="11" s="1"/>
  <c r="G118" i="11" s="1"/>
  <c r="G119" i="11" s="1"/>
  <c r="G120" i="11" s="1"/>
  <c r="G121" i="11" s="1"/>
  <c r="G122" i="11" s="1"/>
  <c r="G123" i="11" s="1"/>
  <c r="G124" i="11" s="1"/>
  <c r="G125" i="11" s="1"/>
  <c r="G126" i="11" s="1"/>
  <c r="G127" i="11" s="1"/>
  <c r="G128" i="11" s="1"/>
  <c r="G129" i="11" s="1"/>
  <c r="G130" i="11" s="1"/>
  <c r="G131" i="11" s="1"/>
  <c r="G132" i="11" s="1"/>
  <c r="G133" i="11" s="1"/>
  <c r="G134" i="11" s="1"/>
  <c r="G135" i="11" s="1"/>
  <c r="G136" i="11" s="1"/>
  <c r="G137" i="11" s="1"/>
  <c r="G138" i="11" s="1"/>
  <c r="G139" i="11" s="1"/>
  <c r="G140" i="11" s="1"/>
  <c r="G141" i="11" s="1"/>
  <c r="G142" i="11" s="1"/>
  <c r="G143" i="11" s="1"/>
  <c r="G144" i="11" s="1"/>
  <c r="G145" i="11" s="1"/>
  <c r="G146" i="11" s="1"/>
  <c r="G147" i="11" s="1"/>
  <c r="G148" i="11" s="1"/>
  <c r="G149" i="11" s="1"/>
  <c r="G150" i="11" s="1"/>
  <c r="G151" i="11" s="1"/>
  <c r="G152" i="11" s="1"/>
  <c r="G153" i="11" s="1"/>
  <c r="G154" i="11" s="1"/>
  <c r="G155" i="11" s="1"/>
  <c r="G156" i="11" s="1"/>
  <c r="G157" i="11" s="1"/>
  <c r="G158" i="11" s="1"/>
  <c r="G159" i="11" s="1"/>
  <c r="G160" i="11" s="1"/>
  <c r="G161" i="11" s="1"/>
  <c r="G162" i="11" s="1"/>
  <c r="G163" i="11" s="1"/>
  <c r="G164" i="11" s="1"/>
  <c r="G165" i="11" s="1"/>
  <c r="G166" i="11" s="1"/>
  <c r="G167" i="11" s="1"/>
  <c r="G168" i="11" s="1"/>
  <c r="G169" i="11" s="1"/>
  <c r="G170" i="11" s="1"/>
  <c r="G171" i="11" s="1"/>
  <c r="G172" i="11" s="1"/>
  <c r="G173" i="11" s="1"/>
  <c r="G174" i="11" s="1"/>
  <c r="G175" i="11" s="1"/>
  <c r="G176" i="11" s="1"/>
  <c r="G177" i="11" s="1"/>
  <c r="G178" i="11" s="1"/>
  <c r="G179" i="11" s="1"/>
  <c r="G180" i="11" s="1"/>
  <c r="G181" i="11" s="1"/>
  <c r="G182" i="11" s="1"/>
  <c r="G183" i="11" s="1"/>
  <c r="V14" i="6"/>
  <c r="V28" i="6"/>
  <c r="V31" i="6"/>
  <c r="V32" i="6"/>
  <c r="V33" i="6"/>
  <c r="T11" i="6"/>
  <c r="V11" i="6" s="1"/>
  <c r="T13" i="6"/>
  <c r="V13" i="6" s="1"/>
  <c r="T10" i="6"/>
  <c r="V10" i="6" s="1"/>
  <c r="T28" i="6"/>
  <c r="T23" i="6"/>
  <c r="V23" i="6" s="1"/>
  <c r="T18" i="6"/>
  <c r="T31" i="6"/>
  <c r="T24" i="6"/>
  <c r="T22" i="6"/>
  <c r="T36" i="6"/>
  <c r="T7" i="6"/>
  <c r="T14" i="6"/>
  <c r="T16" i="6"/>
  <c r="V16" i="6" s="1"/>
  <c r="V7" i="6"/>
  <c r="T12" i="6"/>
  <c r="V12" i="6" s="1"/>
  <c r="T32" i="6"/>
  <c r="T33" i="6"/>
  <c r="T26" i="6"/>
  <c r="V26" i="6" s="1"/>
  <c r="T20" i="6"/>
  <c r="V20" i="6" s="1"/>
  <c r="T17" i="6"/>
  <c r="V17" i="6" s="1"/>
  <c r="T19" i="6"/>
  <c r="V19" i="6" s="1"/>
  <c r="T27" i="6"/>
  <c r="V27" i="6" s="1"/>
  <c r="T8" i="6"/>
  <c r="V8" i="6" s="1"/>
  <c r="T34" i="6"/>
  <c r="T9" i="6"/>
  <c r="V9" i="6" s="1"/>
  <c r="T29" i="6"/>
  <c r="T25" i="6"/>
  <c r="T30" i="6"/>
  <c r="T35" i="6"/>
  <c r="T21" i="6"/>
  <c r="V21" i="6" s="1"/>
  <c r="T15" i="6"/>
  <c r="V15" i="6" s="1"/>
  <c r="V25" i="6"/>
  <c r="V34" i="6"/>
  <c r="V29" i="6"/>
  <c r="V35" i="6"/>
  <c r="V18" i="6"/>
  <c r="P21" i="6"/>
  <c r="P16" i="6"/>
  <c r="P8" i="6"/>
  <c r="P9" i="6"/>
  <c r="P7" i="6"/>
  <c r="P26" i="6"/>
  <c r="P20" i="6"/>
  <c r="P17" i="6"/>
  <c r="P11" i="6"/>
  <c r="P31" i="6"/>
  <c r="P18" i="6"/>
  <c r="P15" i="6"/>
  <c r="P13" i="6"/>
  <c r="P35" i="6"/>
  <c r="P29" i="6"/>
  <c r="P23" i="6"/>
  <c r="P28" i="6"/>
  <c r="P10" i="6"/>
  <c r="P12" i="6"/>
  <c r="P14" i="6"/>
  <c r="P36" i="6"/>
  <c r="X6" i="6"/>
  <c r="Z6" i="6" s="1"/>
  <c r="P22" i="6"/>
  <c r="D19" i="12"/>
  <c r="P24" i="6"/>
  <c r="P25" i="6"/>
  <c r="P30" i="6"/>
  <c r="P34" i="6"/>
  <c r="P19" i="6"/>
  <c r="D26" i="6"/>
  <c r="P33" i="6"/>
  <c r="P32" i="6"/>
  <c r="P27" i="6"/>
  <c r="H45" i="6"/>
  <c r="D32" i="6" s="1"/>
  <c r="I26" i="6"/>
  <c r="E184" i="4"/>
  <c r="E185" i="4" s="1"/>
  <c r="E186" i="4" s="1"/>
  <c r="E187" i="4" s="1"/>
  <c r="E188" i="4" s="1"/>
  <c r="E189" i="4" s="1"/>
  <c r="E190" i="4" s="1"/>
  <c r="E191" i="4" s="1"/>
  <c r="E192" i="4" s="1"/>
  <c r="E193" i="4" s="1"/>
  <c r="E194" i="4" s="1"/>
  <c r="E195" i="4" s="1"/>
  <c r="H35" i="6"/>
  <c r="D21" i="12" s="1"/>
  <c r="V36" i="6"/>
  <c r="V30" i="6"/>
  <c r="V22" i="6"/>
  <c r="V24" i="6"/>
  <c r="P12" i="10"/>
  <c r="P14" i="10"/>
  <c r="P20" i="10"/>
  <c r="P29" i="10"/>
  <c r="P13" i="10"/>
  <c r="P31" i="10"/>
  <c r="P32" i="10"/>
  <c r="P22" i="10"/>
  <c r="P34" i="10"/>
  <c r="P35" i="10"/>
  <c r="P11" i="10"/>
  <c r="P24" i="10"/>
  <c r="E19" i="12"/>
  <c r="P17" i="10"/>
  <c r="P28" i="10"/>
  <c r="P25" i="10"/>
  <c r="P8" i="10"/>
  <c r="O8" i="10" s="1"/>
  <c r="P7" i="10"/>
  <c r="O7" i="10" s="1"/>
  <c r="P16" i="10"/>
  <c r="P23" i="10"/>
  <c r="P21" i="10"/>
  <c r="P26" i="10"/>
  <c r="P10" i="10"/>
  <c r="P33" i="10"/>
  <c r="P18" i="10"/>
  <c r="P27" i="10"/>
  <c r="P9" i="10"/>
  <c r="D26" i="10"/>
  <c r="P30" i="10"/>
  <c r="P19" i="10"/>
  <c r="P36" i="10"/>
  <c r="P15" i="10"/>
  <c r="I52" i="6"/>
  <c r="H26" i="6"/>
  <c r="T32" i="8"/>
  <c r="T11" i="8"/>
  <c r="T8" i="8"/>
  <c r="V8" i="8" s="1"/>
  <c r="T29" i="8"/>
  <c r="T19" i="8"/>
  <c r="V19" i="8" s="1"/>
  <c r="T24" i="8"/>
  <c r="T20" i="8"/>
  <c r="T34" i="8"/>
  <c r="T16" i="8"/>
  <c r="T33" i="8"/>
  <c r="V33" i="8" s="1"/>
  <c r="T14" i="8"/>
  <c r="V14" i="8" s="1"/>
  <c r="T22" i="8"/>
  <c r="V22" i="8" s="1"/>
  <c r="T26" i="8"/>
  <c r="T13" i="8"/>
  <c r="V13" i="8" s="1"/>
  <c r="T21" i="8"/>
  <c r="Y21" i="8" s="1"/>
  <c r="T7" i="8"/>
  <c r="T12" i="8"/>
  <c r="V12" i="8" s="1"/>
  <c r="V7" i="8"/>
  <c r="T30" i="8"/>
  <c r="V30" i="8" s="1"/>
  <c r="T9" i="8"/>
  <c r="V9" i="8" s="1"/>
  <c r="T15" i="8"/>
  <c r="T10" i="8"/>
  <c r="T36" i="8"/>
  <c r="T23" i="8"/>
  <c r="V23" i="8" s="1"/>
  <c r="T17" i="8"/>
  <c r="T35" i="8"/>
  <c r="T31" i="8"/>
  <c r="T28" i="8"/>
  <c r="T18" i="8"/>
  <c r="V18" i="8" s="1"/>
  <c r="T25" i="8"/>
  <c r="T27" i="8"/>
  <c r="V27" i="8" s="1"/>
  <c r="V24" i="8"/>
  <c r="V31" i="8"/>
  <c r="V10" i="8"/>
  <c r="V35" i="8"/>
  <c r="V20" i="8"/>
  <c r="V15" i="8"/>
  <c r="V11" i="8"/>
  <c r="V17" i="8"/>
  <c r="H44" i="8"/>
  <c r="D32" i="8" s="1"/>
  <c r="C25" i="12" s="1"/>
  <c r="I26" i="8"/>
  <c r="V36" i="8"/>
  <c r="V16" i="8"/>
  <c r="V32" i="8"/>
  <c r="V25" i="8"/>
  <c r="V21" i="8"/>
  <c r="V26" i="8"/>
  <c r="V28" i="8"/>
  <c r="V34" i="8"/>
  <c r="V29" i="8"/>
  <c r="H27" i="8"/>
  <c r="H28" i="8"/>
  <c r="H34" i="10" l="1"/>
  <c r="G184" i="11"/>
  <c r="G185" i="11" s="1"/>
  <c r="G186" i="11" s="1"/>
  <c r="G187" i="11" s="1"/>
  <c r="G188" i="11" s="1"/>
  <c r="G189" i="11" s="1"/>
  <c r="G190" i="11" s="1"/>
  <c r="G191" i="11" s="1"/>
  <c r="G192" i="11" s="1"/>
  <c r="G193" i="11" s="1"/>
  <c r="G194" i="11" s="1"/>
  <c r="G195" i="11" s="1"/>
  <c r="G196" i="11" s="1"/>
  <c r="G197" i="11" s="1"/>
  <c r="G198" i="11" s="1"/>
  <c r="G199" i="11" s="1"/>
  <c r="G200" i="11" s="1"/>
  <c r="G201" i="11" s="1"/>
  <c r="G202" i="11" s="1"/>
  <c r="G203" i="11" s="1"/>
  <c r="G204" i="11" s="1"/>
  <c r="G205" i="11" s="1"/>
  <c r="G206" i="11" s="1"/>
  <c r="G207" i="11" s="1"/>
  <c r="G208" i="11" s="1"/>
  <c r="G209" i="11" s="1"/>
  <c r="G210" i="11" s="1"/>
  <c r="G211" i="11" s="1"/>
  <c r="G212" i="11" s="1"/>
  <c r="G213" i="11" s="1"/>
  <c r="G214" i="11" s="1"/>
  <c r="G215" i="11" s="1"/>
  <c r="G216" i="11" s="1"/>
  <c r="G217" i="11" s="1"/>
  <c r="G218" i="11" s="1"/>
  <c r="G219" i="11" s="1"/>
  <c r="G220" i="11" s="1"/>
  <c r="G221" i="11" s="1"/>
  <c r="G222" i="11" s="1"/>
  <c r="G223" i="11" s="1"/>
  <c r="G224" i="11" s="1"/>
  <c r="G225" i="11" s="1"/>
  <c r="G226" i="11" s="1"/>
  <c r="G227" i="11" s="1"/>
  <c r="G228" i="11" s="1"/>
  <c r="G229" i="11" s="1"/>
  <c r="G230" i="11" s="1"/>
  <c r="G231" i="11" s="1"/>
  <c r="G232" i="11" s="1"/>
  <c r="G233" i="11" s="1"/>
  <c r="G234" i="11" s="1"/>
  <c r="G235" i="11" s="1"/>
  <c r="G236" i="11" s="1"/>
  <c r="G237" i="11" s="1"/>
  <c r="G238" i="11" s="1"/>
  <c r="G239" i="11" s="1"/>
  <c r="G240" i="11" s="1"/>
  <c r="G241" i="11" s="1"/>
  <c r="G242" i="11" s="1"/>
  <c r="G243" i="11" s="1"/>
  <c r="G244" i="11" s="1"/>
  <c r="G245" i="11" s="1"/>
  <c r="G246" i="11" s="1"/>
  <c r="G247" i="11" s="1"/>
  <c r="G248" i="11" s="1"/>
  <c r="G249" i="11" s="1"/>
  <c r="G250" i="11" s="1"/>
  <c r="G251" i="11" s="1"/>
  <c r="G252" i="11" s="1"/>
  <c r="G253" i="11" s="1"/>
  <c r="G254" i="11" s="1"/>
  <c r="G255" i="11" s="1"/>
  <c r="G256" i="11" s="1"/>
  <c r="G257" i="11" s="1"/>
  <c r="G258" i="11" s="1"/>
  <c r="G259" i="11" s="1"/>
  <c r="G260" i="11" s="1"/>
  <c r="G261" i="11" s="1"/>
  <c r="G262" i="11" s="1"/>
  <c r="G263" i="11" s="1"/>
  <c r="G264" i="11" s="1"/>
  <c r="G265" i="11" s="1"/>
  <c r="G266" i="11" s="1"/>
  <c r="G267" i="11" s="1"/>
  <c r="G268" i="11" s="1"/>
  <c r="G269" i="11" s="1"/>
  <c r="G270" i="11" s="1"/>
  <c r="G271" i="11" s="1"/>
  <c r="G272" i="11" s="1"/>
  <c r="G273" i="11" s="1"/>
  <c r="G274" i="11" s="1"/>
  <c r="G275" i="11" s="1"/>
  <c r="G276" i="11" s="1"/>
  <c r="G277" i="11" s="1"/>
  <c r="G278" i="11" s="1"/>
  <c r="G279" i="11" s="1"/>
  <c r="G280" i="11" s="1"/>
  <c r="G281" i="11" s="1"/>
  <c r="G282" i="11" s="1"/>
  <c r="G283" i="11" s="1"/>
  <c r="G284" i="11" s="1"/>
  <c r="G285" i="11" s="1"/>
  <c r="G286" i="11" s="1"/>
  <c r="G287" i="11" s="1"/>
  <c r="G288" i="11" s="1"/>
  <c r="G289" i="11" s="1"/>
  <c r="G290" i="11" s="1"/>
  <c r="G291" i="11" s="1"/>
  <c r="G292" i="11" s="1"/>
  <c r="G293" i="11" s="1"/>
  <c r="G294" i="11" s="1"/>
  <c r="G295" i="11" s="1"/>
  <c r="G296" i="11" s="1"/>
  <c r="G297" i="11" s="1"/>
  <c r="G298" i="11" s="1"/>
  <c r="G299" i="11" s="1"/>
  <c r="G300" i="11" s="1"/>
  <c r="G301" i="11" s="1"/>
  <c r="G302" i="11" s="1"/>
  <c r="G303" i="11" s="1"/>
  <c r="G304" i="11" s="1"/>
  <c r="G305" i="11" s="1"/>
  <c r="G306" i="11" s="1"/>
  <c r="G307" i="11" s="1"/>
  <c r="G308" i="11" s="1"/>
  <c r="G309" i="11" s="1"/>
  <c r="G310" i="11" s="1"/>
  <c r="G311" i="11" s="1"/>
  <c r="G312" i="11" s="1"/>
  <c r="G313" i="11" s="1"/>
  <c r="G314" i="11" s="1"/>
  <c r="G315" i="11" s="1"/>
  <c r="G316" i="11" s="1"/>
  <c r="G317" i="11" s="1"/>
  <c r="G318" i="11" s="1"/>
  <c r="G319" i="11" s="1"/>
  <c r="G320" i="11" s="1"/>
  <c r="G321" i="11" s="1"/>
  <c r="G322" i="11" s="1"/>
  <c r="G323" i="11" s="1"/>
  <c r="G324" i="11" s="1"/>
  <c r="G325" i="11" s="1"/>
  <c r="G326" i="11" s="1"/>
  <c r="G327" i="11" s="1"/>
  <c r="G328" i="11" s="1"/>
  <c r="G329" i="11" s="1"/>
  <c r="G330" i="11" s="1"/>
  <c r="G331" i="11" s="1"/>
  <c r="G332" i="11" s="1"/>
  <c r="G333" i="11" s="1"/>
  <c r="G334" i="11" s="1"/>
  <c r="G335" i="11" s="1"/>
  <c r="G336" i="11" s="1"/>
  <c r="G337" i="11" s="1"/>
  <c r="G338" i="11" s="1"/>
  <c r="G339" i="11" s="1"/>
  <c r="G340" i="11" s="1"/>
  <c r="G341" i="11" s="1"/>
  <c r="G342" i="11" s="1"/>
  <c r="G343" i="11" s="1"/>
  <c r="G344" i="11" s="1"/>
  <c r="G345" i="11" s="1"/>
  <c r="G346" i="11" s="1"/>
  <c r="G347" i="11" s="1"/>
  <c r="G348" i="11" s="1"/>
  <c r="G349" i="11" s="1"/>
  <c r="G350" i="11" s="1"/>
  <c r="G351" i="11" s="1"/>
  <c r="G352" i="11" s="1"/>
  <c r="G353" i="11" s="1"/>
  <c r="G354" i="11" s="1"/>
  <c r="G355" i="11" s="1"/>
  <c r="G356" i="11" s="1"/>
  <c r="G357" i="11" s="1"/>
  <c r="G358" i="11" s="1"/>
  <c r="G359" i="11" s="1"/>
  <c r="G360" i="11" s="1"/>
  <c r="G361" i="11" s="1"/>
  <c r="G362" i="11" s="1"/>
  <c r="G363" i="11" s="1"/>
  <c r="U9" i="10"/>
  <c r="N9" i="10" s="1"/>
  <c r="O9" i="10" s="1"/>
  <c r="E40" i="11"/>
  <c r="E41" i="11" s="1"/>
  <c r="E42" i="11" s="1"/>
  <c r="E43" i="11" s="1"/>
  <c r="E44" i="11" s="1"/>
  <c r="E45" i="11" s="1"/>
  <c r="E46" i="11" s="1"/>
  <c r="E47" i="11" s="1"/>
  <c r="E48" i="11" s="1"/>
  <c r="E49" i="11" s="1"/>
  <c r="E50" i="11" s="1"/>
  <c r="E51" i="11" s="1"/>
  <c r="D27" i="10"/>
  <c r="E28" i="12"/>
  <c r="Y21" i="6"/>
  <c r="I27" i="6"/>
  <c r="I28" i="6"/>
  <c r="H42" i="6" s="1"/>
  <c r="E196" i="4"/>
  <c r="E197" i="4" s="1"/>
  <c r="E198" i="4" s="1"/>
  <c r="E199" i="4" s="1"/>
  <c r="E200" i="4" s="1"/>
  <c r="E201" i="4" s="1"/>
  <c r="E202" i="4" s="1"/>
  <c r="E203" i="4" s="1"/>
  <c r="E204" i="4" s="1"/>
  <c r="E205" i="4" s="1"/>
  <c r="E206" i="4" s="1"/>
  <c r="E207" i="4" s="1"/>
  <c r="U22" i="6"/>
  <c r="H27" i="6"/>
  <c r="D27" i="6" s="1"/>
  <c r="H28" i="6"/>
  <c r="D28" i="6" s="1"/>
  <c r="D28" i="8"/>
  <c r="I28" i="8"/>
  <c r="I27" i="8"/>
  <c r="D27" i="8"/>
  <c r="E52" i="11" l="1"/>
  <c r="E53" i="11" s="1"/>
  <c r="E54" i="11" s="1"/>
  <c r="E55" i="11" s="1"/>
  <c r="E56" i="11" s="1"/>
  <c r="E57" i="11" s="1"/>
  <c r="E58" i="11" s="1"/>
  <c r="E59" i="11" s="1"/>
  <c r="E60" i="11" s="1"/>
  <c r="E61" i="11" s="1"/>
  <c r="E62" i="11" s="1"/>
  <c r="E63" i="11" s="1"/>
  <c r="U10" i="10"/>
  <c r="N10" i="10" s="1"/>
  <c r="O10" i="10" s="1"/>
  <c r="D29" i="10"/>
  <c r="E21" i="12"/>
  <c r="H37" i="10"/>
  <c r="E208" i="4"/>
  <c r="E209" i="4" s="1"/>
  <c r="E210" i="4" s="1"/>
  <c r="E211" i="4" s="1"/>
  <c r="E212" i="4" s="1"/>
  <c r="E213" i="4" s="1"/>
  <c r="E214" i="4" s="1"/>
  <c r="E215" i="4" s="1"/>
  <c r="E216" i="4" s="1"/>
  <c r="E217" i="4" s="1"/>
  <c r="E218" i="4" s="1"/>
  <c r="E219" i="4" s="1"/>
  <c r="U23" i="6"/>
  <c r="X29" i="6"/>
  <c r="W31" i="6"/>
  <c r="W18" i="6"/>
  <c r="N18" i="6" s="1"/>
  <c r="O18" i="6" s="1"/>
  <c r="X11" i="6"/>
  <c r="Z11" i="6" s="1"/>
  <c r="X16" i="6"/>
  <c r="Z16" i="6" s="1"/>
  <c r="W36" i="6"/>
  <c r="X31" i="6"/>
  <c r="X20" i="6"/>
  <c r="Z20" i="6" s="1"/>
  <c r="X35" i="6"/>
  <c r="W21" i="6"/>
  <c r="N21" i="6" s="1"/>
  <c r="O21" i="6" s="1"/>
  <c r="W34" i="6"/>
  <c r="W29" i="6"/>
  <c r="X30" i="6"/>
  <c r="X26" i="6"/>
  <c r="W20" i="6"/>
  <c r="N20" i="6" s="1"/>
  <c r="O20" i="6" s="1"/>
  <c r="W27" i="6"/>
  <c r="X32" i="6"/>
  <c r="X25" i="6"/>
  <c r="X14" i="6"/>
  <c r="Z14" i="6" s="1"/>
  <c r="X23" i="6"/>
  <c r="W35" i="6"/>
  <c r="W33" i="6"/>
  <c r="X17" i="6"/>
  <c r="Z17" i="6" s="1"/>
  <c r="W28" i="6"/>
  <c r="X13" i="6"/>
  <c r="Z13" i="6" s="1"/>
  <c r="X7" i="6"/>
  <c r="Z7" i="6" s="1"/>
  <c r="W25" i="6"/>
  <c r="W8" i="6"/>
  <c r="N8" i="6" s="1"/>
  <c r="O8" i="6" s="1"/>
  <c r="X22" i="6"/>
  <c r="W23" i="6"/>
  <c r="N23" i="6" s="1"/>
  <c r="O23" i="6" s="1"/>
  <c r="X12" i="6"/>
  <c r="Z12" i="6" s="1"/>
  <c r="W19" i="6"/>
  <c r="N19" i="6" s="1"/>
  <c r="O19" i="6" s="1"/>
  <c r="X21" i="6"/>
  <c r="Z21" i="6" s="1"/>
  <c r="X24" i="6"/>
  <c r="X8" i="6"/>
  <c r="Z8" i="6" s="1"/>
  <c r="X15" i="6"/>
  <c r="Z15" i="6" s="1"/>
  <c r="W7" i="6"/>
  <c r="N7" i="6" s="1"/>
  <c r="O7" i="6" s="1"/>
  <c r="W24" i="6"/>
  <c r="W32" i="6"/>
  <c r="W17" i="6"/>
  <c r="N17" i="6" s="1"/>
  <c r="O17" i="6" s="1"/>
  <c r="W30" i="6"/>
  <c r="W10" i="6"/>
  <c r="N10" i="6" s="1"/>
  <c r="O10" i="6" s="1"/>
  <c r="X36" i="6"/>
  <c r="X28" i="6"/>
  <c r="W11" i="6"/>
  <c r="N11" i="6" s="1"/>
  <c r="O11" i="6" s="1"/>
  <c r="W26" i="6"/>
  <c r="W14" i="6"/>
  <c r="N14" i="6" s="1"/>
  <c r="O14" i="6" s="1"/>
  <c r="X27" i="6"/>
  <c r="X10" i="6"/>
  <c r="Z10" i="6" s="1"/>
  <c r="X19" i="6"/>
  <c r="Z19" i="6" s="1"/>
  <c r="X33" i="6"/>
  <c r="W12" i="6"/>
  <c r="N12" i="6" s="1"/>
  <c r="O12" i="6" s="1"/>
  <c r="W13" i="6"/>
  <c r="N13" i="6" s="1"/>
  <c r="O13" i="6" s="1"/>
  <c r="W22" i="6"/>
  <c r="N22" i="6" s="1"/>
  <c r="O22" i="6" s="1"/>
  <c r="W16" i="6"/>
  <c r="N16" i="6" s="1"/>
  <c r="O16" i="6" s="1"/>
  <c r="H38" i="6"/>
  <c r="W15" i="6"/>
  <c r="N15" i="6" s="1"/>
  <c r="O15" i="6" s="1"/>
  <c r="X18" i="6"/>
  <c r="Z18" i="6" s="1"/>
  <c r="X34" i="6"/>
  <c r="X9" i="6"/>
  <c r="Z9" i="6" s="1"/>
  <c r="W9" i="6"/>
  <c r="N9" i="6" s="1"/>
  <c r="O9" i="6" s="1"/>
  <c r="W14" i="8"/>
  <c r="N14" i="8" s="1"/>
  <c r="O14" i="8" s="1"/>
  <c r="W16" i="8"/>
  <c r="N16" i="8" s="1"/>
  <c r="O16" i="8" s="1"/>
  <c r="H37" i="8"/>
  <c r="W34" i="8"/>
  <c r="N34" i="8" s="1"/>
  <c r="O34" i="8" s="1"/>
  <c r="W15" i="8"/>
  <c r="N15" i="8" s="1"/>
  <c r="O15" i="8" s="1"/>
  <c r="W7" i="8"/>
  <c r="N7" i="8" s="1"/>
  <c r="O7" i="8" s="1"/>
  <c r="W29" i="8"/>
  <c r="N29" i="8" s="1"/>
  <c r="O29" i="8" s="1"/>
  <c r="W22" i="8"/>
  <c r="N22" i="8" s="1"/>
  <c r="O22" i="8" s="1"/>
  <c r="W32" i="8"/>
  <c r="N32" i="8" s="1"/>
  <c r="O32" i="8" s="1"/>
  <c r="W21" i="8"/>
  <c r="N21" i="8" s="1"/>
  <c r="O21" i="8" s="1"/>
  <c r="W18" i="8"/>
  <c r="N18" i="8" s="1"/>
  <c r="O18" i="8" s="1"/>
  <c r="W24" i="8"/>
  <c r="N24" i="8" s="1"/>
  <c r="O24" i="8" s="1"/>
  <c r="W26" i="8"/>
  <c r="N26" i="8" s="1"/>
  <c r="O26" i="8" s="1"/>
  <c r="W25" i="8"/>
  <c r="N25" i="8" s="1"/>
  <c r="O25" i="8" s="1"/>
  <c r="W33" i="8"/>
  <c r="N33" i="8" s="1"/>
  <c r="O33" i="8" s="1"/>
  <c r="W9" i="8"/>
  <c r="N9" i="8" s="1"/>
  <c r="O9" i="8" s="1"/>
  <c r="W27" i="8"/>
  <c r="N27" i="8" s="1"/>
  <c r="O27" i="8" s="1"/>
  <c r="W20" i="8"/>
  <c r="N20" i="8" s="1"/>
  <c r="O20" i="8" s="1"/>
  <c r="W31" i="8"/>
  <c r="N31" i="8" s="1"/>
  <c r="O31" i="8" s="1"/>
  <c r="W13" i="8"/>
  <c r="N13" i="8" s="1"/>
  <c r="O13" i="8" s="1"/>
  <c r="W11" i="8"/>
  <c r="N11" i="8" s="1"/>
  <c r="O11" i="8" s="1"/>
  <c r="W19" i="8"/>
  <c r="N19" i="8" s="1"/>
  <c r="O19" i="8" s="1"/>
  <c r="W30" i="8"/>
  <c r="N30" i="8" s="1"/>
  <c r="O30" i="8" s="1"/>
  <c r="W8" i="8"/>
  <c r="N8" i="8" s="1"/>
  <c r="O8" i="8" s="1"/>
  <c r="W35" i="8"/>
  <c r="N35" i="8" s="1"/>
  <c r="O35" i="8" s="1"/>
  <c r="W36" i="8"/>
  <c r="N36" i="8" s="1"/>
  <c r="O36" i="8" s="1"/>
  <c r="W23" i="8"/>
  <c r="N23" i="8" s="1"/>
  <c r="O23" i="8" s="1"/>
  <c r="W17" i="8"/>
  <c r="N17" i="8" s="1"/>
  <c r="O17" i="8" s="1"/>
  <c r="W12" i="8"/>
  <c r="N12" i="8" s="1"/>
  <c r="O12" i="8" s="1"/>
  <c r="W10" i="8"/>
  <c r="N10" i="8" s="1"/>
  <c r="O10" i="8" s="1"/>
  <c r="W28" i="8"/>
  <c r="N28" i="8" s="1"/>
  <c r="O28" i="8" s="1"/>
  <c r="X16" i="8"/>
  <c r="Z16" i="8" s="1"/>
  <c r="X29" i="8"/>
  <c r="X35" i="8"/>
  <c r="X15" i="8"/>
  <c r="Z15" i="8" s="1"/>
  <c r="X28" i="8"/>
  <c r="X8" i="8"/>
  <c r="Z8" i="8" s="1"/>
  <c r="X34" i="8"/>
  <c r="X14" i="8"/>
  <c r="Z14" i="8" s="1"/>
  <c r="X27" i="8"/>
  <c r="X13" i="8"/>
  <c r="Z13" i="8" s="1"/>
  <c r="X24" i="8"/>
  <c r="X26" i="8"/>
  <c r="X33" i="8"/>
  <c r="X25" i="8"/>
  <c r="H41" i="8"/>
  <c r="X19" i="8"/>
  <c r="Z19" i="8" s="1"/>
  <c r="X32" i="8"/>
  <c r="X22" i="8"/>
  <c r="X12" i="8"/>
  <c r="Z12" i="8" s="1"/>
  <c r="X21" i="8"/>
  <c r="Z21" i="8" s="1"/>
  <c r="X31" i="8"/>
  <c r="X9" i="8"/>
  <c r="Z9" i="8" s="1"/>
  <c r="X23" i="8"/>
  <c r="X20" i="8"/>
  <c r="Z20" i="8" s="1"/>
  <c r="X7" i="8"/>
  <c r="Z7" i="8" s="1"/>
  <c r="X18" i="8"/>
  <c r="Z18" i="8" s="1"/>
  <c r="X11" i="8"/>
  <c r="Z11" i="8" s="1"/>
  <c r="X17" i="8"/>
  <c r="Z17" i="8" s="1"/>
  <c r="X30" i="8"/>
  <c r="X10" i="8"/>
  <c r="Z10" i="8" s="1"/>
  <c r="X36" i="8"/>
  <c r="U11" i="10" l="1"/>
  <c r="N11" i="10" s="1"/>
  <c r="O11" i="10" s="1"/>
  <c r="E64" i="11"/>
  <c r="E65" i="11" s="1"/>
  <c r="E66" i="11" s="1"/>
  <c r="E67" i="11" s="1"/>
  <c r="E68" i="11" s="1"/>
  <c r="E69" i="11" s="1"/>
  <c r="E70" i="11" s="1"/>
  <c r="E71" i="11" s="1"/>
  <c r="E72" i="11" s="1"/>
  <c r="E73" i="11" s="1"/>
  <c r="E74" i="11" s="1"/>
  <c r="E75" i="11" s="1"/>
  <c r="D31" i="10"/>
  <c r="E23" i="12" s="1"/>
  <c r="H38" i="10"/>
  <c r="H44" i="6"/>
  <c r="D20" i="12"/>
  <c r="H41" i="6"/>
  <c r="D26" i="12" s="1"/>
  <c r="D27" i="12" s="1"/>
  <c r="H39" i="6"/>
  <c r="E220" i="4"/>
  <c r="E221" i="4" s="1"/>
  <c r="E222" i="4" s="1"/>
  <c r="E223" i="4" s="1"/>
  <c r="E224" i="4" s="1"/>
  <c r="E225" i="4" s="1"/>
  <c r="E226" i="4" s="1"/>
  <c r="E227" i="4" s="1"/>
  <c r="E228" i="4" s="1"/>
  <c r="E229" i="4" s="1"/>
  <c r="E230" i="4" s="1"/>
  <c r="E231" i="4" s="1"/>
  <c r="U24" i="6"/>
  <c r="N24" i="6" s="1"/>
  <c r="O24" i="6" s="1"/>
  <c r="H43" i="8"/>
  <c r="H38" i="8"/>
  <c r="C20" i="12"/>
  <c r="H40" i="8"/>
  <c r="D32" i="10" l="1"/>
  <c r="E24" i="12"/>
  <c r="E76" i="11"/>
  <c r="E77" i="11" s="1"/>
  <c r="E78" i="11" s="1"/>
  <c r="E79" i="11" s="1"/>
  <c r="E80" i="11" s="1"/>
  <c r="E81" i="11" s="1"/>
  <c r="E82" i="11" s="1"/>
  <c r="E83" i="11" s="1"/>
  <c r="E84" i="11" s="1"/>
  <c r="E85" i="11" s="1"/>
  <c r="E86" i="11" s="1"/>
  <c r="E87" i="11" s="1"/>
  <c r="U12" i="10"/>
  <c r="N12" i="10" s="1"/>
  <c r="O12" i="10" s="1"/>
  <c r="D23" i="12"/>
  <c r="D29" i="6"/>
  <c r="H43" i="6"/>
  <c r="E232" i="4"/>
  <c r="E233" i="4" s="1"/>
  <c r="E234" i="4" s="1"/>
  <c r="E235" i="4" s="1"/>
  <c r="E236" i="4" s="1"/>
  <c r="E237" i="4" s="1"/>
  <c r="E238" i="4" s="1"/>
  <c r="E239" i="4" s="1"/>
  <c r="E240" i="4" s="1"/>
  <c r="E241" i="4" s="1"/>
  <c r="E242" i="4" s="1"/>
  <c r="E243" i="4" s="1"/>
  <c r="U25" i="6"/>
  <c r="N25" i="6" s="1"/>
  <c r="O25" i="6" s="1"/>
  <c r="D29" i="12"/>
  <c r="D31" i="6"/>
  <c r="H42" i="8"/>
  <c r="D30" i="8" s="1"/>
  <c r="C24" i="12" s="1"/>
  <c r="D29" i="8"/>
  <c r="C23" i="12" s="1"/>
  <c r="D31" i="8"/>
  <c r="C29" i="12"/>
  <c r="E88" i="11" l="1"/>
  <c r="E89" i="11" s="1"/>
  <c r="E90" i="11" s="1"/>
  <c r="E91" i="11" s="1"/>
  <c r="E92" i="11" s="1"/>
  <c r="E93" i="11" s="1"/>
  <c r="E94" i="11" s="1"/>
  <c r="E95" i="11" s="1"/>
  <c r="E96" i="11" s="1"/>
  <c r="E97" i="11" s="1"/>
  <c r="E98" i="11" s="1"/>
  <c r="E99" i="11" s="1"/>
  <c r="U13" i="10"/>
  <c r="N13" i="10" s="1"/>
  <c r="O13" i="10" s="1"/>
  <c r="E244" i="4"/>
  <c r="E245" i="4" s="1"/>
  <c r="E246" i="4" s="1"/>
  <c r="E247" i="4" s="1"/>
  <c r="E248" i="4" s="1"/>
  <c r="E249" i="4" s="1"/>
  <c r="E250" i="4" s="1"/>
  <c r="E251" i="4" s="1"/>
  <c r="E252" i="4" s="1"/>
  <c r="E253" i="4" s="1"/>
  <c r="E254" i="4" s="1"/>
  <c r="E255" i="4" s="1"/>
  <c r="U26" i="6"/>
  <c r="N26" i="6" s="1"/>
  <c r="O26" i="6" s="1"/>
  <c r="D24" i="12"/>
  <c r="D30" i="6"/>
  <c r="E100" i="11" l="1"/>
  <c r="E101" i="11" s="1"/>
  <c r="E102" i="11" s="1"/>
  <c r="E103" i="11" s="1"/>
  <c r="E104" i="11" s="1"/>
  <c r="E105" i="11" s="1"/>
  <c r="E106" i="11" s="1"/>
  <c r="E107" i="11" s="1"/>
  <c r="E108" i="11" s="1"/>
  <c r="E109" i="11" s="1"/>
  <c r="E110" i="11" s="1"/>
  <c r="E111" i="11" s="1"/>
  <c r="U14" i="10"/>
  <c r="N14" i="10" s="1"/>
  <c r="O14" i="10" s="1"/>
  <c r="E256" i="4"/>
  <c r="E257" i="4" s="1"/>
  <c r="E258" i="4" s="1"/>
  <c r="E259" i="4" s="1"/>
  <c r="E260" i="4" s="1"/>
  <c r="E261" i="4" s="1"/>
  <c r="E262" i="4" s="1"/>
  <c r="E263" i="4" s="1"/>
  <c r="E264" i="4" s="1"/>
  <c r="E265" i="4" s="1"/>
  <c r="E266" i="4" s="1"/>
  <c r="E267" i="4" s="1"/>
  <c r="U27" i="6"/>
  <c r="N27" i="6" s="1"/>
  <c r="O27" i="6" s="1"/>
  <c r="E112" i="11" l="1"/>
  <c r="E113" i="11" s="1"/>
  <c r="E114" i="11" s="1"/>
  <c r="E115" i="11" s="1"/>
  <c r="E116" i="11" s="1"/>
  <c r="E117" i="11" s="1"/>
  <c r="E118" i="11" s="1"/>
  <c r="E119" i="11" s="1"/>
  <c r="E120" i="11" s="1"/>
  <c r="E121" i="11" s="1"/>
  <c r="E122" i="11" s="1"/>
  <c r="E123" i="11" s="1"/>
  <c r="U15" i="10"/>
  <c r="N15" i="10" s="1"/>
  <c r="O15" i="10" s="1"/>
  <c r="E268" i="4"/>
  <c r="E269" i="4" s="1"/>
  <c r="E270" i="4" s="1"/>
  <c r="E271" i="4" s="1"/>
  <c r="E272" i="4" s="1"/>
  <c r="E273" i="4" s="1"/>
  <c r="E274" i="4" s="1"/>
  <c r="E275" i="4" s="1"/>
  <c r="E276" i="4" s="1"/>
  <c r="E277" i="4" s="1"/>
  <c r="E278" i="4" s="1"/>
  <c r="E279" i="4" s="1"/>
  <c r="U28" i="6"/>
  <c r="N28" i="6" s="1"/>
  <c r="O28" i="6" s="1"/>
  <c r="E124" i="11" l="1"/>
  <c r="E125" i="11" s="1"/>
  <c r="E126" i="11" s="1"/>
  <c r="E127" i="11" s="1"/>
  <c r="E128" i="11" s="1"/>
  <c r="E129" i="11" s="1"/>
  <c r="E130" i="11" s="1"/>
  <c r="E131" i="11" s="1"/>
  <c r="E132" i="11" s="1"/>
  <c r="E133" i="11" s="1"/>
  <c r="E134" i="11" s="1"/>
  <c r="E135" i="11" s="1"/>
  <c r="U16" i="10"/>
  <c r="N16" i="10" s="1"/>
  <c r="O16" i="10" s="1"/>
  <c r="E280" i="4"/>
  <c r="E281" i="4" s="1"/>
  <c r="E282" i="4" s="1"/>
  <c r="E283" i="4" s="1"/>
  <c r="E284" i="4" s="1"/>
  <c r="E285" i="4" s="1"/>
  <c r="E286" i="4" s="1"/>
  <c r="E287" i="4" s="1"/>
  <c r="E288" i="4" s="1"/>
  <c r="E289" i="4" s="1"/>
  <c r="E290" i="4" s="1"/>
  <c r="E291" i="4" s="1"/>
  <c r="U29" i="6"/>
  <c r="N29" i="6" s="1"/>
  <c r="O29" i="6" s="1"/>
  <c r="U17" i="10" l="1"/>
  <c r="N17" i="10" s="1"/>
  <c r="O17" i="10" s="1"/>
  <c r="E136" i="11"/>
  <c r="E137" i="11" s="1"/>
  <c r="E138" i="11" s="1"/>
  <c r="E139" i="11" s="1"/>
  <c r="E140" i="11" s="1"/>
  <c r="E141" i="11" s="1"/>
  <c r="E142" i="11" s="1"/>
  <c r="E143" i="11" s="1"/>
  <c r="E144" i="11" s="1"/>
  <c r="E145" i="11" s="1"/>
  <c r="E146" i="11" s="1"/>
  <c r="E147" i="11" s="1"/>
  <c r="E292" i="4"/>
  <c r="E293" i="4" s="1"/>
  <c r="E294" i="4" s="1"/>
  <c r="E295" i="4" s="1"/>
  <c r="E296" i="4" s="1"/>
  <c r="E297" i="4" s="1"/>
  <c r="E298" i="4" s="1"/>
  <c r="E299" i="4" s="1"/>
  <c r="E300" i="4" s="1"/>
  <c r="E301" i="4" s="1"/>
  <c r="E302" i="4" s="1"/>
  <c r="E303" i="4" s="1"/>
  <c r="U30" i="6"/>
  <c r="N30" i="6" s="1"/>
  <c r="O30" i="6" s="1"/>
  <c r="E148" i="11" l="1"/>
  <c r="E149" i="11" s="1"/>
  <c r="E150" i="11" s="1"/>
  <c r="E151" i="11" s="1"/>
  <c r="E152" i="11" s="1"/>
  <c r="E153" i="11" s="1"/>
  <c r="E154" i="11" s="1"/>
  <c r="E155" i="11" s="1"/>
  <c r="E156" i="11" s="1"/>
  <c r="E157" i="11" s="1"/>
  <c r="E158" i="11" s="1"/>
  <c r="E159" i="11" s="1"/>
  <c r="U18" i="10"/>
  <c r="N18" i="10" s="1"/>
  <c r="O18" i="10" s="1"/>
  <c r="E304" i="4"/>
  <c r="E305" i="4" s="1"/>
  <c r="E306" i="4" s="1"/>
  <c r="E307" i="4" s="1"/>
  <c r="E308" i="4" s="1"/>
  <c r="E309" i="4" s="1"/>
  <c r="E310" i="4" s="1"/>
  <c r="E311" i="4" s="1"/>
  <c r="E312" i="4" s="1"/>
  <c r="E313" i="4" s="1"/>
  <c r="E314" i="4" s="1"/>
  <c r="E315" i="4" s="1"/>
  <c r="U31" i="6"/>
  <c r="N31" i="6" s="1"/>
  <c r="O31" i="6" s="1"/>
  <c r="U19" i="10" l="1"/>
  <c r="N19" i="10" s="1"/>
  <c r="O19" i="10" s="1"/>
  <c r="E160" i="11"/>
  <c r="E161" i="11" s="1"/>
  <c r="E162" i="11" s="1"/>
  <c r="E163" i="11" s="1"/>
  <c r="E164" i="11" s="1"/>
  <c r="E165" i="11" s="1"/>
  <c r="E166" i="11" s="1"/>
  <c r="E167" i="11" s="1"/>
  <c r="E168" i="11" s="1"/>
  <c r="E169" i="11" s="1"/>
  <c r="E170" i="11" s="1"/>
  <c r="E171" i="11" s="1"/>
  <c r="E316" i="4"/>
  <c r="E317" i="4" s="1"/>
  <c r="E318" i="4" s="1"/>
  <c r="E319" i="4" s="1"/>
  <c r="E320" i="4" s="1"/>
  <c r="E321" i="4" s="1"/>
  <c r="E322" i="4" s="1"/>
  <c r="E323" i="4" s="1"/>
  <c r="E324" i="4" s="1"/>
  <c r="E325" i="4" s="1"/>
  <c r="E326" i="4" s="1"/>
  <c r="E327" i="4" s="1"/>
  <c r="U32" i="6"/>
  <c r="N32" i="6" s="1"/>
  <c r="O32" i="6" s="1"/>
  <c r="U20" i="10" l="1"/>
  <c r="N20" i="10" s="1"/>
  <c r="O20" i="10" s="1"/>
  <c r="E172" i="11"/>
  <c r="E173" i="11" s="1"/>
  <c r="E174" i="11" s="1"/>
  <c r="E175" i="11" s="1"/>
  <c r="E176" i="11" s="1"/>
  <c r="E177" i="11" s="1"/>
  <c r="E178" i="11" s="1"/>
  <c r="E179" i="11" s="1"/>
  <c r="E180" i="11" s="1"/>
  <c r="E181" i="11" s="1"/>
  <c r="E182" i="11" s="1"/>
  <c r="E183" i="11" s="1"/>
  <c r="E328" i="4"/>
  <c r="E329" i="4" s="1"/>
  <c r="E330" i="4" s="1"/>
  <c r="E331" i="4" s="1"/>
  <c r="E332" i="4" s="1"/>
  <c r="E333" i="4" s="1"/>
  <c r="E334" i="4" s="1"/>
  <c r="E335" i="4" s="1"/>
  <c r="E336" i="4" s="1"/>
  <c r="E337" i="4" s="1"/>
  <c r="E338" i="4" s="1"/>
  <c r="E339" i="4" s="1"/>
  <c r="U33" i="6"/>
  <c r="N33" i="6" s="1"/>
  <c r="O33" i="6" s="1"/>
  <c r="E184" i="11" l="1"/>
  <c r="E185" i="11" s="1"/>
  <c r="E186" i="11" s="1"/>
  <c r="E187" i="11" s="1"/>
  <c r="E188" i="11" s="1"/>
  <c r="E189" i="11" s="1"/>
  <c r="E190" i="11" s="1"/>
  <c r="E191" i="11" s="1"/>
  <c r="E192" i="11" s="1"/>
  <c r="E193" i="11" s="1"/>
  <c r="E194" i="11" s="1"/>
  <c r="E195" i="11" s="1"/>
  <c r="U21" i="10"/>
  <c r="N21" i="10" s="1"/>
  <c r="O21" i="10" s="1"/>
  <c r="E340" i="4"/>
  <c r="E341" i="4" s="1"/>
  <c r="E342" i="4" s="1"/>
  <c r="E343" i="4" s="1"/>
  <c r="E344" i="4" s="1"/>
  <c r="E345" i="4" s="1"/>
  <c r="E346" i="4" s="1"/>
  <c r="E347" i="4" s="1"/>
  <c r="E348" i="4" s="1"/>
  <c r="E349" i="4" s="1"/>
  <c r="E350" i="4" s="1"/>
  <c r="E351" i="4" s="1"/>
  <c r="U34" i="6"/>
  <c r="N34" i="6" s="1"/>
  <c r="O34" i="6" s="1"/>
  <c r="U22" i="10" l="1"/>
  <c r="N22" i="10" s="1"/>
  <c r="O22" i="10" s="1"/>
  <c r="E196" i="11"/>
  <c r="E197" i="11" s="1"/>
  <c r="E198" i="11" s="1"/>
  <c r="E199" i="11" s="1"/>
  <c r="E200" i="11" s="1"/>
  <c r="E201" i="11" s="1"/>
  <c r="E202" i="11" s="1"/>
  <c r="E203" i="11" s="1"/>
  <c r="E204" i="11" s="1"/>
  <c r="E205" i="11" s="1"/>
  <c r="E206" i="11" s="1"/>
  <c r="E207" i="11" s="1"/>
  <c r="E352" i="4"/>
  <c r="E353" i="4" s="1"/>
  <c r="E354" i="4" s="1"/>
  <c r="E355" i="4" s="1"/>
  <c r="E356" i="4" s="1"/>
  <c r="E357" i="4" s="1"/>
  <c r="E358" i="4" s="1"/>
  <c r="E359" i="4" s="1"/>
  <c r="E360" i="4" s="1"/>
  <c r="E361" i="4" s="1"/>
  <c r="E362" i="4" s="1"/>
  <c r="E363" i="4" s="1"/>
  <c r="U36" i="6" s="1"/>
  <c r="N36" i="6" s="1"/>
  <c r="O36" i="6" s="1"/>
  <c r="U35" i="6"/>
  <c r="N35" i="6" s="1"/>
  <c r="O35" i="6" s="1"/>
  <c r="U23" i="10" l="1"/>
  <c r="N23" i="10" s="1"/>
  <c r="O23" i="10" s="1"/>
  <c r="E208" i="11"/>
  <c r="E209" i="11" s="1"/>
  <c r="E210" i="11" s="1"/>
  <c r="E211" i="11" s="1"/>
  <c r="E212" i="11" s="1"/>
  <c r="E213" i="11" s="1"/>
  <c r="E214" i="11" s="1"/>
  <c r="E215" i="11" s="1"/>
  <c r="E216" i="11" s="1"/>
  <c r="E217" i="11" s="1"/>
  <c r="E218" i="11" s="1"/>
  <c r="E219" i="11" s="1"/>
  <c r="E220" i="11" l="1"/>
  <c r="E221" i="11" s="1"/>
  <c r="E222" i="11" s="1"/>
  <c r="E223" i="11" s="1"/>
  <c r="E224" i="11" s="1"/>
  <c r="E225" i="11" s="1"/>
  <c r="E226" i="11" s="1"/>
  <c r="E227" i="11" s="1"/>
  <c r="E228" i="11" s="1"/>
  <c r="E229" i="11" s="1"/>
  <c r="E230" i="11" s="1"/>
  <c r="E231" i="11" s="1"/>
  <c r="U24" i="10"/>
  <c r="N24" i="10" s="1"/>
  <c r="O24" i="10" s="1"/>
  <c r="E232" i="11" l="1"/>
  <c r="E233" i="11" s="1"/>
  <c r="E234" i="11" s="1"/>
  <c r="E235" i="11" s="1"/>
  <c r="E236" i="11" s="1"/>
  <c r="E237" i="11" s="1"/>
  <c r="E238" i="11" s="1"/>
  <c r="E239" i="11" s="1"/>
  <c r="E240" i="11" s="1"/>
  <c r="E241" i="11" s="1"/>
  <c r="E242" i="11" s="1"/>
  <c r="E243" i="11" s="1"/>
  <c r="U25" i="10"/>
  <c r="N25" i="10" s="1"/>
  <c r="O25" i="10" s="1"/>
  <c r="E244" i="11" l="1"/>
  <c r="E245" i="11" s="1"/>
  <c r="E246" i="11" s="1"/>
  <c r="E247" i="11" s="1"/>
  <c r="E248" i="11" s="1"/>
  <c r="E249" i="11" s="1"/>
  <c r="E250" i="11" s="1"/>
  <c r="E251" i="11" s="1"/>
  <c r="E252" i="11" s="1"/>
  <c r="E253" i="11" s="1"/>
  <c r="E254" i="11" s="1"/>
  <c r="E255" i="11" s="1"/>
  <c r="U26" i="10"/>
  <c r="N26" i="10" s="1"/>
  <c r="O26" i="10" s="1"/>
  <c r="E256" i="11" l="1"/>
  <c r="E257" i="11" s="1"/>
  <c r="E258" i="11" s="1"/>
  <c r="E259" i="11" s="1"/>
  <c r="E260" i="11" s="1"/>
  <c r="E261" i="11" s="1"/>
  <c r="E262" i="11" s="1"/>
  <c r="E263" i="11" s="1"/>
  <c r="E264" i="11" s="1"/>
  <c r="E265" i="11" s="1"/>
  <c r="E266" i="11" s="1"/>
  <c r="E267" i="11" s="1"/>
  <c r="U27" i="10"/>
  <c r="N27" i="10" s="1"/>
  <c r="O27" i="10" s="1"/>
  <c r="U28" i="10" l="1"/>
  <c r="N28" i="10" s="1"/>
  <c r="O28" i="10" s="1"/>
  <c r="E268" i="11"/>
  <c r="E269" i="11" s="1"/>
  <c r="E270" i="11" s="1"/>
  <c r="E271" i="11" s="1"/>
  <c r="E272" i="11" s="1"/>
  <c r="E273" i="11" s="1"/>
  <c r="E274" i="11" s="1"/>
  <c r="E275" i="11" s="1"/>
  <c r="E276" i="11" s="1"/>
  <c r="E277" i="11" s="1"/>
  <c r="E278" i="11" s="1"/>
  <c r="E279" i="11" s="1"/>
  <c r="U29" i="10" l="1"/>
  <c r="N29" i="10" s="1"/>
  <c r="O29" i="10" s="1"/>
  <c r="E280" i="11"/>
  <c r="E281" i="11" s="1"/>
  <c r="E282" i="11" s="1"/>
  <c r="E283" i="11" s="1"/>
  <c r="E284" i="11" s="1"/>
  <c r="E285" i="11" s="1"/>
  <c r="E286" i="11" s="1"/>
  <c r="E287" i="11" s="1"/>
  <c r="E288" i="11" s="1"/>
  <c r="E289" i="11" s="1"/>
  <c r="E290" i="11" s="1"/>
  <c r="E291" i="11" s="1"/>
  <c r="E292" i="11" l="1"/>
  <c r="E293" i="11" s="1"/>
  <c r="E294" i="11" s="1"/>
  <c r="E295" i="11" s="1"/>
  <c r="E296" i="11" s="1"/>
  <c r="E297" i="11" s="1"/>
  <c r="E298" i="11" s="1"/>
  <c r="E299" i="11" s="1"/>
  <c r="E300" i="11" s="1"/>
  <c r="E301" i="11" s="1"/>
  <c r="E302" i="11" s="1"/>
  <c r="E303" i="11" s="1"/>
  <c r="U30" i="10"/>
  <c r="N30" i="10" s="1"/>
  <c r="O30" i="10" s="1"/>
  <c r="E304" i="11" l="1"/>
  <c r="E305" i="11" s="1"/>
  <c r="E306" i="11" s="1"/>
  <c r="E307" i="11" s="1"/>
  <c r="E308" i="11" s="1"/>
  <c r="E309" i="11" s="1"/>
  <c r="E310" i="11" s="1"/>
  <c r="E311" i="11" s="1"/>
  <c r="E312" i="11" s="1"/>
  <c r="E313" i="11" s="1"/>
  <c r="E314" i="11" s="1"/>
  <c r="E315" i="11" s="1"/>
  <c r="U31" i="10"/>
  <c r="N31" i="10" s="1"/>
  <c r="O31" i="10" s="1"/>
  <c r="E316" i="11" l="1"/>
  <c r="E317" i="11" s="1"/>
  <c r="E318" i="11" s="1"/>
  <c r="E319" i="11" s="1"/>
  <c r="E320" i="11" s="1"/>
  <c r="E321" i="11" s="1"/>
  <c r="E322" i="11" s="1"/>
  <c r="E323" i="11" s="1"/>
  <c r="E324" i="11" s="1"/>
  <c r="E325" i="11" s="1"/>
  <c r="E326" i="11" s="1"/>
  <c r="E327" i="11" s="1"/>
  <c r="U32" i="10"/>
  <c r="N32" i="10" s="1"/>
  <c r="O32" i="10" s="1"/>
  <c r="E328" i="11" l="1"/>
  <c r="E329" i="11" s="1"/>
  <c r="E330" i="11" s="1"/>
  <c r="E331" i="11" s="1"/>
  <c r="E332" i="11" s="1"/>
  <c r="E333" i="11" s="1"/>
  <c r="E334" i="11" s="1"/>
  <c r="E335" i="11" s="1"/>
  <c r="E336" i="11" s="1"/>
  <c r="E337" i="11" s="1"/>
  <c r="E338" i="11" s="1"/>
  <c r="E339" i="11" s="1"/>
  <c r="U33" i="10"/>
  <c r="N33" i="10" s="1"/>
  <c r="O33" i="10" s="1"/>
  <c r="U34" i="10" l="1"/>
  <c r="N34" i="10" s="1"/>
  <c r="O34" i="10" s="1"/>
  <c r="E340" i="11"/>
  <c r="E341" i="11" s="1"/>
  <c r="E342" i="11" s="1"/>
  <c r="E343" i="11" s="1"/>
  <c r="E344" i="11" s="1"/>
  <c r="E345" i="11" s="1"/>
  <c r="E346" i="11" s="1"/>
  <c r="E347" i="11" s="1"/>
  <c r="E348" i="11" s="1"/>
  <c r="E349" i="11" s="1"/>
  <c r="E350" i="11" s="1"/>
  <c r="E351" i="11" s="1"/>
  <c r="E352" i="11" l="1"/>
  <c r="E353" i="11" s="1"/>
  <c r="E354" i="11" s="1"/>
  <c r="E355" i="11" s="1"/>
  <c r="E356" i="11" s="1"/>
  <c r="E357" i="11" s="1"/>
  <c r="E358" i="11" s="1"/>
  <c r="E359" i="11" s="1"/>
  <c r="E360" i="11" s="1"/>
  <c r="E361" i="11" s="1"/>
  <c r="E362" i="11" s="1"/>
  <c r="E363" i="11" s="1"/>
  <c r="U36" i="10" s="1"/>
  <c r="N36" i="10" s="1"/>
  <c r="O36" i="10" s="1"/>
  <c r="U35" i="10"/>
  <c r="N35" i="10" s="1"/>
  <c r="O35" i="10" s="1"/>
</calcChain>
</file>

<file path=xl/sharedStrings.xml><?xml version="1.0" encoding="utf-8"?>
<sst xmlns="http://schemas.openxmlformats.org/spreadsheetml/2006/main" count="306" uniqueCount="142">
  <si>
    <t>Financial Estimate Summary - Magnolia Village North - **Kennedy Floor Plan**</t>
  </si>
  <si>
    <t>Key Assumptions</t>
  </si>
  <si>
    <t>Item</t>
  </si>
  <si>
    <t>All Cash</t>
  </si>
  <si>
    <t>With Loan</t>
  </si>
  <si>
    <t>Owner Occupier</t>
  </si>
  <si>
    <t>List Price</t>
  </si>
  <si>
    <t>Percent Down for Loan</t>
  </si>
  <si>
    <t>Interest Rate on Loan</t>
  </si>
  <si>
    <t>Rent Per Side</t>
  </si>
  <si>
    <t>Annual Appreciation</t>
  </si>
  <si>
    <t>Investment Period (Years)</t>
  </si>
  <si>
    <t xml:space="preserve">Addditional assumptions and all forumulas can be found in the other tabs in this spreadsheet. </t>
  </si>
  <si>
    <t>Summary</t>
  </si>
  <si>
    <t>w/Loan</t>
  </si>
  <si>
    <t>Annual Gross Rents</t>
  </si>
  <si>
    <t>Capital Needed for Purchase</t>
  </si>
  <si>
    <t>Accumulated Cash Flow</t>
  </si>
  <si>
    <t>Principal Pay Down</t>
  </si>
  <si>
    <t>Appreciation After X Years</t>
  </si>
  <si>
    <t>Total Estimated Profit</t>
  </si>
  <si>
    <t>Total Annual Return (ROI)</t>
  </si>
  <si>
    <t>Cap Rate</t>
  </si>
  <si>
    <t>Cash on Cash Return</t>
  </si>
  <si>
    <t>Cash on Cash + Appreciation</t>
  </si>
  <si>
    <t>Owner Occupier Monthly Cost</t>
  </si>
  <si>
    <t>Internal Rate of Return (IRR)</t>
  </si>
  <si>
    <t>Rent to Puchase Price Ratio Comparison</t>
  </si>
  <si>
    <t>(competitor ratio)</t>
  </si>
  <si>
    <t>Magnolia North</t>
  </si>
  <si>
    <t>Sample 1</t>
  </si>
  <si>
    <t>Sample 2</t>
  </si>
  <si>
    <t>Purchase Price</t>
  </si>
  <si>
    <t>Monthly Rent</t>
  </si>
  <si>
    <t>Total Monthly Rent</t>
  </si>
  <si>
    <t>Rent to Purchase Price Ratio</t>
  </si>
  <si>
    <t>A simple way to compare properties is to look at how much rent you are "buying" for each dollar you are spending. The higher the ratio, the better.</t>
  </si>
  <si>
    <t>Contact us for Details: 210-444-2040 or sales@rosehaven.us</t>
  </si>
  <si>
    <t>Premium Duplexes at Magnolia Village North Proforma</t>
  </si>
  <si>
    <t>Years</t>
  </si>
  <si>
    <t>Total Projected Profit</t>
  </si>
  <si>
    <t>Return on Investment</t>
  </si>
  <si>
    <t>Investment Capital Needed</t>
  </si>
  <si>
    <t>Loan Amount</t>
  </si>
  <si>
    <t>Appreciation</t>
  </si>
  <si>
    <t>Principal Paydown</t>
  </si>
  <si>
    <t>Selling Expenses</t>
  </si>
  <si>
    <t>Cash Flow</t>
  </si>
  <si>
    <t>Net Proceeds</t>
  </si>
  <si>
    <t>Adj IRR Cash Flows</t>
  </si>
  <si>
    <t>Monthly</t>
  </si>
  <si>
    <t>Annual</t>
  </si>
  <si>
    <t>Rent per Side</t>
  </si>
  <si>
    <t>Gross Rents</t>
  </si>
  <si>
    <t>Total Operating Expenses</t>
  </si>
  <si>
    <t>Monthly Cash-on-Cash Return</t>
  </si>
  <si>
    <t>Est. Cash Flow</t>
  </si>
  <si>
    <t>Monthly Cash-on-Cash Return (Less Vacancy &amp; Maint Exp)</t>
  </si>
  <si>
    <t>Est. Cash Flow (Less Vacancy &amp; Maint Exp)</t>
  </si>
  <si>
    <t>Annual Return on Investment</t>
  </si>
  <si>
    <t>Annual Cap Rate</t>
  </si>
  <si>
    <t>Years Held</t>
  </si>
  <si>
    <t>Investment</t>
  </si>
  <si>
    <t>Down Payment</t>
  </si>
  <si>
    <t>Est. Selling Expenses %</t>
  </si>
  <si>
    <t>(Does not account for rising rents)</t>
  </si>
  <si>
    <t>Closing Costs</t>
  </si>
  <si>
    <t>Initial Upgrade Costs</t>
  </si>
  <si>
    <t>Operating Expenses</t>
  </si>
  <si>
    <t>Property Taxes</t>
  </si>
  <si>
    <t>Cash-on-Cash Return (Total Exp)</t>
  </si>
  <si>
    <t>Insurance</t>
  </si>
  <si>
    <t>Cash-on-Cash Return (Less Vacancy &amp; Maint Exp)</t>
  </si>
  <si>
    <t>HOA Fees</t>
  </si>
  <si>
    <t>Management Fees</t>
  </si>
  <si>
    <t>Leasing Fee</t>
  </si>
  <si>
    <t>Estimated Vacancy Amount</t>
  </si>
  <si>
    <t>Estimated Maintenance Amount</t>
  </si>
  <si>
    <t>Tax Benefits</t>
  </si>
  <si>
    <t>Annual Depreciation Benefit</t>
  </si>
  <si>
    <t>Disclaimer</t>
  </si>
  <si>
    <t xml:space="preserve">Proforma returns are based on assumptions. Actual returns will vary. Rosehaven Homes, LLC and Magnolia Village at Cinco Lakes, LLC hereby disclaims all warranties, express or implied, and makes no warranties or representations of any kind regarding the information provided or the estimates in this document. Further, we encourage all investors to seek professional advice before making real estate investment decisions. Rosehaven Homes, LLC hereby disclaims any liability for the accuracy, completeness, or correctness of any information or assumptions provided. </t>
  </si>
  <si>
    <t>Est. Cash Flow (Total expenses)</t>
  </si>
  <si>
    <t>Monthly Cash Flow (Less Vacancy &amp; Maint. Exp)</t>
  </si>
  <si>
    <t>Debt Service</t>
  </si>
  <si>
    <t>Interest Rate</t>
  </si>
  <si>
    <t>Amortization (years)</t>
  </si>
  <si>
    <t>Mortgage Payment (P&amp;I)</t>
  </si>
  <si>
    <t>Total Mortgage Payment (P&amp;I)</t>
  </si>
  <si>
    <t>Home Insurance</t>
  </si>
  <si>
    <t>PITI</t>
  </si>
  <si>
    <t>Cash Reserves</t>
  </si>
  <si>
    <t>Number of Months</t>
  </si>
  <si>
    <t>Leasing Fee (Amortized Over 18 Months)</t>
  </si>
  <si>
    <t>Estimated Maintenance</t>
  </si>
  <si>
    <t>Accumulated Expenses After Income</t>
  </si>
  <si>
    <t>Cash Required to Close</t>
  </si>
  <si>
    <t>Expenses After Rental Income</t>
  </si>
  <si>
    <t>Monthly Expenses After Rental Income</t>
  </si>
  <si>
    <t>Expenses After Rental Income (Less Vacancy &amp; Maint. Exp)</t>
  </si>
  <si>
    <t>Monthly Expenses After Rental Income (Less Vacancy &amp; Maint. Exp)</t>
  </si>
  <si>
    <t>Total Principal Paydown by Renter</t>
  </si>
  <si>
    <t>Total Appreciation</t>
  </si>
  <si>
    <t>Projected Annual Appreciation %</t>
  </si>
  <si>
    <t>Closing Costs &amp; Prepaids</t>
  </si>
  <si>
    <t>PMI</t>
  </si>
  <si>
    <t>Leasing Fee (Amortized over 18 Months)</t>
  </si>
  <si>
    <t>Estimated Closing Costs</t>
  </si>
  <si>
    <t>Admin Fee</t>
  </si>
  <si>
    <t>Processing Fee</t>
  </si>
  <si>
    <t>Tax Service Fee</t>
  </si>
  <si>
    <t>Total Lender Fees</t>
  </si>
  <si>
    <t>Attorney Doc Prep Fee</t>
  </si>
  <si>
    <t>Credit Report Fee</t>
  </si>
  <si>
    <t>Recording Fee</t>
  </si>
  <si>
    <t>Title Escrow and Misc Fees</t>
  </si>
  <si>
    <t>Owner's Title Policy (OTP)</t>
  </si>
  <si>
    <t>Survey Fee</t>
  </si>
  <si>
    <t>HOA Transfer Fees</t>
  </si>
  <si>
    <t>Total Lender/Title Closing Costs</t>
  </si>
  <si>
    <t>Per Diem Interest (15 Days)</t>
  </si>
  <si>
    <t>Annual Home Insurance Premium</t>
  </si>
  <si>
    <t>Buyer's contribution toward Escrow Setup</t>
  </si>
  <si>
    <t>Total Other Loan Costs</t>
  </si>
  <si>
    <t>Calculated Total Closing Costs</t>
  </si>
  <si>
    <t>Manually Enter Closing Costs?</t>
  </si>
  <si>
    <t>No</t>
  </si>
  <si>
    <t>Manual Closing Costs</t>
  </si>
  <si>
    <t>Total Closing Costs</t>
  </si>
  <si>
    <t>Mortgage Amortization Schedule</t>
  </si>
  <si>
    <t>Month</t>
  </si>
  <si>
    <t>Principal Payment</t>
  </si>
  <si>
    <t>Interest Payment</t>
  </si>
  <si>
    <t>P&amp;I Payment</t>
  </si>
  <si>
    <t>Balance</t>
  </si>
  <si>
    <t>Rental Contribution</t>
  </si>
  <si>
    <t>Accumulated Principle Paydown</t>
  </si>
  <si>
    <t>Down Payment %</t>
  </si>
  <si>
    <t>Vacancy Rate</t>
  </si>
  <si>
    <t xml:space="preserve">Estimated Maintenance </t>
  </si>
  <si>
    <t>Management Fee</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</si>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</sst>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0.000%"/>
    <numFmt numFmtId="168" formatCode="&quot;$&quot;#,##0"/>
  </numFmts>
  <fonts count="27">
    <font>
      <sz val="11"/>
      <color theme="1"/>
      <name val="Aptos Narrow"/>
      <family val="2"/>
      <scheme val="minor"/>
    </font>
    <font>
      <sz val="11"/>
      <color theme="1"/>
      <name val="Aptos Narrow"/>
      <family val="2"/>
      <scheme val="minor"/>
    </font>
    <font>
      <b/>
      <sz val="11"/>
      <color theme="1"/>
      <name val="Aptos Narrow"/>
      <family val="2"/>
      <scheme val="minor"/>
    </font>
    <font>
      <b/>
      <sz val="14"/>
      <color theme="0"/>
      <name val="Aptos Narrow"/>
      <family val="2"/>
      <scheme val="minor"/>
    </font>
    <font>
      <b/>
      <sz val="14"/>
      <color theme="0"/>
      <name val="Cambria"/>
      <family val="1"/>
    </font>
    <font>
      <sz val="11"/>
      <color theme="1"/>
      <name val="Cambria"/>
      <family val="1"/>
    </font>
    <font>
      <b/>
      <sz val="11"/>
      <color theme="1"/>
      <name val="Cambria"/>
      <family val="1"/>
    </font>
    <font>
      <b/>
      <sz val="11"/>
      <color theme="0"/>
      <name val="Cambria"/>
      <family val="1"/>
    </font>
    <font>
      <b/>
      <sz val="11"/>
      <name val="Cambria"/>
      <family val="1"/>
    </font>
    <font>
      <i/>
      <sz val="11"/>
      <color theme="1"/>
      <name val="Aptos Narrow"/>
      <family val="2"/>
      <scheme val="minor"/>
    </font>
    <font>
      <b/>
      <i/>
      <sz val="11"/>
      <color theme="1"/>
      <name val="Cambria"/>
      <family val="1"/>
    </font>
    <font>
      <i/>
      <sz val="11"/>
      <color theme="1"/>
      <name val="Cambria"/>
      <family val="1"/>
    </font>
    <font>
      <b/>
      <sz val="12"/>
      <name val="Arial Narrow"/>
      <family val="2"/>
    </font>
    <font>
      <sz val="12"/>
      <name val="Arial Narrow"/>
      <family val="2"/>
    </font>
    <font>
      <sz val="10"/>
      <name val="Helvetica"/>
    </font>
    <font>
      <b/>
      <sz val="12"/>
      <name val="Cambria"/>
      <family val="1"/>
    </font>
    <font>
      <u/>
      <sz val="11"/>
      <color theme="10"/>
      <name val="Aptos Narrow"/>
      <family val="2"/>
      <scheme val="minor"/>
    </font>
    <font>
      <b/>
      <sz val="11"/>
      <color theme="0"/>
      <name val="Aptos Narrow"/>
      <family val="2"/>
      <scheme val="minor"/>
    </font>
    <font>
      <sz val="11"/>
      <color theme="0"/>
      <name val="Cambria"/>
      <family val="1"/>
    </font>
    <font>
      <b/>
      <sz val="18"/>
      <color theme="4" tint="-0.499984740745262"/>
      <name val="Cambria"/>
      <family val="1"/>
    </font>
    <font>
      <b/>
      <sz val="10"/>
      <color theme="0"/>
      <name val="Cambria"/>
      <family val="1"/>
    </font>
    <font>
      <b/>
      <sz val="10"/>
      <color theme="1"/>
      <name val="Cambria"/>
      <family val="1"/>
    </font>
    <font>
      <sz val="10"/>
      <color theme="1"/>
      <name val="Cambria"/>
      <family val="1"/>
    </font>
    <font>
      <i/>
      <sz val="10"/>
      <color theme="1"/>
      <name val="Cambria"/>
      <family val="1"/>
    </font>
    <font>
      <sz val="10"/>
      <color theme="1"/>
      <name val="Aptos Narrow"/>
      <family val="2"/>
      <scheme val="minor"/>
    </font>
    <font>
      <i/>
      <sz val="9"/>
      <color theme="1"/>
      <name val="Cambria"/>
      <family val="1"/>
    </font>
    <font>
      <i/>
      <sz val="8"/>
      <color theme="1"/>
      <name val="Cambria"/>
      <family val="1"/>
    </font>
  </fonts>
  <fills count="7">
    <fill>
      <patternFill patternType="none"/>
    </fill>
    <fill>
      <patternFill patternType="gray125"/>
    </fill>
    <fill>
      <patternFill patternType="solid">
        <fgColor theme="4"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89999084444715716"/>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6" fillId="0" borderId="0" applyNumberFormat="0" applyFill="0" applyBorder="0" applyAlignment="0" applyProtection="0"/>
  </cellStyleXfs>
  <cellXfs count="116">
    <xf numFmtId="0" fontId="0" fillId="0" borderId="0" xfId="0"/>
    <xf numFmtId="0" fontId="2" fillId="0" borderId="0" xfId="0" applyFont="1"/>
    <xf numFmtId="9" fontId="0" fillId="0" borderId="0" xfId="3" applyFont="1"/>
    <xf numFmtId="44" fontId="0" fillId="0" borderId="0" xfId="0" applyNumberFormat="1"/>
    <xf numFmtId="8" fontId="0" fillId="0" borderId="0" xfId="0" applyNumberFormat="1"/>
    <xf numFmtId="0" fontId="0" fillId="2" borderId="0" xfId="0" applyFill="1"/>
    <xf numFmtId="166" fontId="0" fillId="0" borderId="0" xfId="3" applyNumberFormat="1" applyFont="1"/>
    <xf numFmtId="0" fontId="4" fillId="2" borderId="0" xfId="0" applyFont="1" applyFill="1"/>
    <xf numFmtId="0" fontId="5" fillId="0" borderId="0" xfId="0" applyFont="1"/>
    <xf numFmtId="0" fontId="9" fillId="0" borderId="0" xfId="0" applyFont="1"/>
    <xf numFmtId="0" fontId="0" fillId="4" borderId="0" xfId="0" applyFill="1"/>
    <xf numFmtId="0" fontId="13" fillId="4" borderId="0" xfId="0" applyFont="1" applyFill="1"/>
    <xf numFmtId="0" fontId="12" fillId="4" borderId="0" xfId="0" applyFont="1" applyFill="1"/>
    <xf numFmtId="0" fontId="14" fillId="4" borderId="0" xfId="0" applyFont="1" applyFill="1"/>
    <xf numFmtId="0" fontId="15" fillId="0" borderId="0" xfId="0" applyFont="1"/>
    <xf numFmtId="0" fontId="16" fillId="0" borderId="0" xfId="4"/>
    <xf numFmtId="0" fontId="9" fillId="4" borderId="0" xfId="0" applyFont="1" applyFill="1"/>
    <xf numFmtId="0" fontId="5" fillId="4" borderId="0" xfId="0" applyFont="1" applyFill="1"/>
    <xf numFmtId="0" fontId="6" fillId="4" borderId="0" xfId="0" applyFont="1" applyFill="1"/>
    <xf numFmtId="0" fontId="2" fillId="4" borderId="0" xfId="0" applyFont="1" applyFill="1"/>
    <xf numFmtId="164" fontId="6" fillId="4" borderId="0" xfId="0" applyNumberFormat="1" applyFont="1" applyFill="1"/>
    <xf numFmtId="164" fontId="5" fillId="4" borderId="0" xfId="0" applyNumberFormat="1" applyFont="1" applyFill="1"/>
    <xf numFmtId="164" fontId="5" fillId="3" borderId="1" xfId="0" applyNumberFormat="1" applyFont="1" applyFill="1" applyBorder="1" applyAlignment="1">
      <alignment horizontal="center"/>
    </xf>
    <xf numFmtId="164" fontId="6" fillId="5" borderId="1" xfId="2" applyNumberFormat="1" applyFont="1" applyFill="1" applyBorder="1"/>
    <xf numFmtId="0" fontId="15" fillId="4" borderId="0" xfId="0" applyFont="1" applyFill="1"/>
    <xf numFmtId="168" fontId="15" fillId="4" borderId="0" xfId="0" applyNumberFormat="1" applyFont="1" applyFill="1"/>
    <xf numFmtId="168" fontId="6" fillId="4" borderId="0" xfId="0" applyNumberFormat="1" applyFont="1" applyFill="1"/>
    <xf numFmtId="164" fontId="6" fillId="4" borderId="0" xfId="2" applyNumberFormat="1" applyFont="1" applyFill="1"/>
    <xf numFmtId="0" fontId="6" fillId="3" borderId="0" xfId="0" applyFont="1" applyFill="1"/>
    <xf numFmtId="0" fontId="4" fillId="4" borderId="0" xfId="0" applyFont="1" applyFill="1" applyAlignment="1">
      <alignment horizontal="center"/>
    </xf>
    <xf numFmtId="0" fontId="0" fillId="0" borderId="0" xfId="0" applyProtection="1">
      <protection hidden="1"/>
    </xf>
    <xf numFmtId="0" fontId="17" fillId="2" borderId="0" xfId="0" applyFont="1" applyFill="1" applyProtection="1">
      <protection hidden="1"/>
    </xf>
    <xf numFmtId="0" fontId="17" fillId="2" borderId="0" xfId="0" applyFont="1" applyFill="1" applyAlignment="1" applyProtection="1">
      <alignment horizontal="center"/>
      <protection hidden="1"/>
    </xf>
    <xf numFmtId="44" fontId="17" fillId="2" borderId="0" xfId="0" applyNumberFormat="1" applyFont="1" applyFill="1" applyProtection="1">
      <protection hidden="1"/>
    </xf>
    <xf numFmtId="164" fontId="0" fillId="0" borderId="0" xfId="0" applyNumberFormat="1" applyProtection="1">
      <protection hidden="1"/>
    </xf>
    <xf numFmtId="10" fontId="0" fillId="0" borderId="0" xfId="3" applyNumberFormat="1" applyFont="1" applyProtection="1">
      <protection hidden="1"/>
    </xf>
    <xf numFmtId="44" fontId="0" fillId="0" borderId="0" xfId="0" applyNumberFormat="1" applyProtection="1">
      <protection hidden="1"/>
    </xf>
    <xf numFmtId="10" fontId="0" fillId="0" borderId="0" xfId="0" applyNumberFormat="1" applyProtection="1">
      <protection hidden="1"/>
    </xf>
    <xf numFmtId="165" fontId="0" fillId="0" borderId="0" xfId="1" applyNumberFormat="1" applyFont="1" applyProtection="1">
      <protection hidden="1"/>
    </xf>
    <xf numFmtId="43" fontId="0" fillId="0" borderId="0" xfId="0" applyNumberFormat="1" applyProtection="1">
      <protection hidden="1"/>
    </xf>
    <xf numFmtId="0" fontId="2" fillId="0" borderId="0" xfId="0" applyFont="1" applyProtection="1">
      <protection hidden="1"/>
    </xf>
    <xf numFmtId="43" fontId="2" fillId="0" borderId="0" xfId="0" applyNumberFormat="1" applyFont="1" applyProtection="1">
      <protection hidden="1"/>
    </xf>
    <xf numFmtId="0" fontId="0" fillId="4" borderId="0" xfId="0" applyFill="1" applyProtection="1">
      <protection hidden="1"/>
    </xf>
    <xf numFmtId="0" fontId="0" fillId="4" borderId="0" xfId="0" applyFill="1" applyProtection="1">
      <protection locked="0"/>
    </xf>
    <xf numFmtId="0" fontId="5" fillId="4" borderId="0" xfId="0" applyFont="1" applyFill="1" applyProtection="1">
      <protection locked="0"/>
    </xf>
    <xf numFmtId="0" fontId="9" fillId="4" borderId="0" xfId="0" applyFont="1" applyFill="1" applyProtection="1">
      <protection locked="0"/>
    </xf>
    <xf numFmtId="0" fontId="4" fillId="2" borderId="0" xfId="0" applyFont="1" applyFill="1" applyProtection="1">
      <protection locked="0"/>
    </xf>
    <xf numFmtId="0" fontId="5" fillId="2" borderId="0" xfId="0" applyFont="1" applyFill="1" applyProtection="1">
      <protection locked="0"/>
    </xf>
    <xf numFmtId="0" fontId="7" fillId="2" borderId="0" xfId="0" applyFont="1" applyFill="1" applyAlignment="1" applyProtection="1">
      <alignment horizontal="center"/>
      <protection locked="0"/>
    </xf>
    <xf numFmtId="0" fontId="18" fillId="4" borderId="0" xfId="0" applyFont="1" applyFill="1" applyAlignment="1" applyProtection="1">
      <alignment horizontal="center"/>
      <protection locked="0"/>
    </xf>
    <xf numFmtId="164" fontId="5" fillId="4" borderId="0" xfId="2" applyNumberFormat="1" applyFont="1" applyFill="1" applyBorder="1" applyProtection="1">
      <protection locked="0"/>
    </xf>
    <xf numFmtId="9" fontId="5" fillId="4" borderId="0" xfId="3" applyFont="1" applyFill="1" applyBorder="1" applyProtection="1">
      <protection locked="0"/>
    </xf>
    <xf numFmtId="164" fontId="5" fillId="4" borderId="0" xfId="0" applyNumberFormat="1" applyFont="1" applyFill="1" applyProtection="1">
      <protection locked="0"/>
    </xf>
    <xf numFmtId="164" fontId="11" fillId="4" borderId="0" xfId="2" applyNumberFormat="1" applyFont="1" applyFill="1" applyBorder="1" applyProtection="1">
      <protection locked="0"/>
    </xf>
    <xf numFmtId="44" fontId="11" fillId="4" borderId="0" xfId="2" applyFont="1" applyFill="1" applyBorder="1" applyProtection="1">
      <protection locked="0"/>
    </xf>
    <xf numFmtId="165" fontId="5" fillId="4" borderId="0" xfId="1" applyNumberFormat="1" applyFont="1" applyFill="1" applyBorder="1" applyProtection="1">
      <protection locked="0"/>
    </xf>
    <xf numFmtId="0" fontId="6" fillId="4" borderId="0" xfId="0" applyFont="1" applyFill="1" applyProtection="1">
      <protection locked="0"/>
    </xf>
    <xf numFmtId="10" fontId="8" fillId="4" borderId="0" xfId="0" applyNumberFormat="1" applyFont="1" applyFill="1" applyAlignment="1" applyProtection="1">
      <alignment horizontal="right"/>
      <protection locked="0"/>
    </xf>
    <xf numFmtId="164" fontId="6" fillId="4" borderId="0" xfId="0" applyNumberFormat="1" applyFont="1" applyFill="1" applyProtection="1">
      <protection locked="0"/>
    </xf>
    <xf numFmtId="164" fontId="10" fillId="4" borderId="0" xfId="0" applyNumberFormat="1" applyFont="1" applyFill="1" applyProtection="1">
      <protection locked="0"/>
    </xf>
    <xf numFmtId="0" fontId="9" fillId="0" borderId="0" xfId="0" applyFont="1" applyProtection="1">
      <protection locked="0"/>
    </xf>
    <xf numFmtId="164" fontId="6" fillId="4" borderId="0" xfId="2" applyNumberFormat="1" applyFont="1" applyFill="1" applyBorder="1" applyProtection="1">
      <protection locked="0"/>
    </xf>
    <xf numFmtId="10" fontId="5" fillId="4" borderId="0" xfId="3" applyNumberFormat="1" applyFont="1" applyFill="1" applyBorder="1" applyProtection="1">
      <protection locked="0"/>
    </xf>
    <xf numFmtId="167" fontId="5" fillId="4" borderId="0" xfId="3" applyNumberFormat="1" applyFont="1" applyFill="1" applyBorder="1" applyProtection="1">
      <protection locked="0"/>
    </xf>
    <xf numFmtId="165" fontId="6" fillId="4" borderId="0" xfId="1" applyNumberFormat="1" applyFont="1" applyFill="1" applyAlignment="1" applyProtection="1">
      <alignment horizontal="right" indent="2"/>
      <protection locked="0"/>
    </xf>
    <xf numFmtId="10" fontId="6" fillId="4" borderId="0" xfId="3" applyNumberFormat="1" applyFont="1" applyFill="1" applyBorder="1" applyProtection="1">
      <protection locked="0"/>
    </xf>
    <xf numFmtId="44" fontId="6" fillId="4" borderId="0" xfId="0" applyNumberFormat="1" applyFont="1" applyFill="1" applyProtection="1">
      <protection locked="0"/>
    </xf>
    <xf numFmtId="1" fontId="5" fillId="4" borderId="0" xfId="1" applyNumberFormat="1" applyFont="1" applyFill="1" applyBorder="1" applyAlignment="1" applyProtection="1">
      <alignment horizontal="center" vertical="center"/>
      <protection locked="0"/>
    </xf>
    <xf numFmtId="8" fontId="6" fillId="4" borderId="0" xfId="0" applyNumberFormat="1" applyFont="1" applyFill="1" applyProtection="1">
      <protection locked="0"/>
    </xf>
    <xf numFmtId="0" fontId="4" fillId="4" borderId="0" xfId="0" applyFont="1" applyFill="1"/>
    <xf numFmtId="164" fontId="0" fillId="0" borderId="0" xfId="0" applyNumberFormat="1"/>
    <xf numFmtId="44" fontId="9" fillId="4" borderId="0" xfId="0" applyNumberFormat="1" applyFont="1" applyFill="1" applyProtection="1">
      <protection locked="0"/>
    </xf>
    <xf numFmtId="164" fontId="5" fillId="0" borderId="0" xfId="0" applyNumberFormat="1" applyFont="1"/>
    <xf numFmtId="164" fontId="8" fillId="4" borderId="0" xfId="0" applyNumberFormat="1" applyFont="1" applyFill="1" applyAlignment="1" applyProtection="1">
      <alignment horizontal="right"/>
      <protection locked="0"/>
    </xf>
    <xf numFmtId="164" fontId="9" fillId="0" borderId="0" xfId="0" applyNumberFormat="1" applyFont="1"/>
    <xf numFmtId="0" fontId="4" fillId="4" borderId="0" xfId="0" applyFont="1" applyFill="1" applyProtection="1">
      <protection locked="0"/>
    </xf>
    <xf numFmtId="0" fontId="7" fillId="4" borderId="0" xfId="0" applyFont="1" applyFill="1" applyAlignment="1" applyProtection="1">
      <alignment horizontal="center"/>
      <protection locked="0"/>
    </xf>
    <xf numFmtId="164" fontId="6" fillId="0" borderId="0" xfId="0" applyNumberFormat="1" applyFont="1"/>
    <xf numFmtId="0" fontId="20" fillId="2" borderId="0" xfId="0" applyFont="1" applyFill="1" applyProtection="1">
      <protection locked="0"/>
    </xf>
    <xf numFmtId="1" fontId="5" fillId="4" borderId="0" xfId="0" applyNumberFormat="1" applyFont="1" applyFill="1" applyProtection="1">
      <protection locked="0"/>
    </xf>
    <xf numFmtId="43" fontId="0" fillId="0" borderId="0" xfId="1" applyFont="1" applyProtection="1">
      <protection hidden="1"/>
    </xf>
    <xf numFmtId="9" fontId="5" fillId="6" borderId="0" xfId="3" applyFont="1" applyFill="1" applyBorder="1" applyProtection="1">
      <protection locked="0"/>
    </xf>
    <xf numFmtId="10" fontId="5" fillId="6" borderId="0" xfId="3" applyNumberFormat="1" applyFont="1" applyFill="1" applyBorder="1" applyProtection="1">
      <protection locked="0"/>
    </xf>
    <xf numFmtId="164" fontId="10" fillId="4" borderId="0" xfId="2" applyNumberFormat="1" applyFont="1" applyFill="1" applyBorder="1" applyProtection="1">
      <protection locked="0"/>
    </xf>
    <xf numFmtId="166" fontId="5" fillId="6" borderId="0" xfId="3" applyNumberFormat="1" applyFont="1" applyFill="1" applyBorder="1" applyProtection="1">
      <protection locked="0"/>
    </xf>
    <xf numFmtId="43" fontId="0" fillId="0" borderId="0" xfId="0" applyNumberFormat="1"/>
    <xf numFmtId="43" fontId="0" fillId="0" borderId="0" xfId="1" applyFont="1"/>
    <xf numFmtId="44" fontId="5" fillId="4" borderId="0" xfId="0" applyNumberFormat="1" applyFont="1" applyFill="1"/>
    <xf numFmtId="10" fontId="6" fillId="4" borderId="0" xfId="3" applyNumberFormat="1" applyFont="1" applyFill="1" applyProtection="1">
      <protection locked="0"/>
    </xf>
    <xf numFmtId="10" fontId="6" fillId="4" borderId="0" xfId="0" applyNumberFormat="1" applyFont="1" applyFill="1"/>
    <xf numFmtId="0" fontId="21" fillId="4" borderId="0" xfId="0" applyFont="1" applyFill="1"/>
    <xf numFmtId="0" fontId="22" fillId="4" borderId="0" xfId="0" applyFont="1" applyFill="1"/>
    <xf numFmtId="164" fontId="22" fillId="4" borderId="0" xfId="0" applyNumberFormat="1" applyFont="1" applyFill="1" applyProtection="1">
      <protection locked="0"/>
    </xf>
    <xf numFmtId="0" fontId="22" fillId="4" borderId="0" xfId="0" applyFont="1" applyFill="1" applyProtection="1">
      <protection locked="0"/>
    </xf>
    <xf numFmtId="10" fontId="22" fillId="4" borderId="0" xfId="3" applyNumberFormat="1" applyFont="1" applyFill="1" applyBorder="1" applyProtection="1">
      <protection locked="0"/>
    </xf>
    <xf numFmtId="10" fontId="22" fillId="4" borderId="0" xfId="0" applyNumberFormat="1" applyFont="1" applyFill="1"/>
    <xf numFmtId="0" fontId="22" fillId="4" borderId="2" xfId="0" applyFont="1" applyFill="1" applyBorder="1" applyProtection="1">
      <protection locked="0"/>
    </xf>
    <xf numFmtId="1" fontId="22" fillId="4" borderId="2" xfId="0" applyNumberFormat="1" applyFont="1" applyFill="1" applyBorder="1" applyProtection="1">
      <protection locked="0"/>
    </xf>
    <xf numFmtId="0" fontId="22" fillId="4" borderId="2" xfId="0" applyFont="1" applyFill="1" applyBorder="1"/>
    <xf numFmtId="164" fontId="22" fillId="4" borderId="2" xfId="0" applyNumberFormat="1" applyFont="1" applyFill="1" applyBorder="1" applyProtection="1">
      <protection locked="0"/>
    </xf>
    <xf numFmtId="0" fontId="21" fillId="4" borderId="2" xfId="0" applyFont="1" applyFill="1" applyBorder="1"/>
    <xf numFmtId="10" fontId="21" fillId="4" borderId="2" xfId="3" applyNumberFormat="1" applyFont="1" applyFill="1" applyBorder="1" applyProtection="1">
      <protection locked="0"/>
    </xf>
    <xf numFmtId="0" fontId="24" fillId="4" borderId="0" xfId="0" applyFont="1" applyFill="1"/>
    <xf numFmtId="0" fontId="24" fillId="4" borderId="0" xfId="0" applyFont="1" applyFill="1" applyAlignment="1">
      <alignment horizontal="right"/>
    </xf>
    <xf numFmtId="10" fontId="21" fillId="4" borderId="0" xfId="3" applyNumberFormat="1" applyFont="1" applyFill="1" applyBorder="1" applyProtection="1">
      <protection locked="0"/>
    </xf>
    <xf numFmtId="164" fontId="21" fillId="4" borderId="0" xfId="0" applyNumberFormat="1" applyFont="1" applyFill="1" applyProtection="1">
      <protection locked="0"/>
    </xf>
    <xf numFmtId="0" fontId="26" fillId="4" borderId="0" xfId="0" applyFont="1" applyFill="1"/>
    <xf numFmtId="0" fontId="23" fillId="4" borderId="0" xfId="0" applyFont="1" applyFill="1" applyAlignment="1" applyProtection="1">
      <alignment horizontal="center"/>
      <protection locked="0"/>
    </xf>
    <xf numFmtId="0" fontId="25" fillId="4" borderId="3" xfId="0" applyFont="1" applyFill="1" applyBorder="1" applyAlignment="1">
      <alignment horizontal="center" vertical="top" wrapText="1"/>
    </xf>
    <xf numFmtId="0" fontId="25" fillId="4" borderId="0" xfId="0" applyFont="1" applyFill="1" applyAlignment="1">
      <alignment horizontal="center" vertical="top" wrapText="1"/>
    </xf>
    <xf numFmtId="0" fontId="20" fillId="2" borderId="0" xfId="0" applyFont="1" applyFill="1" applyAlignment="1" applyProtection="1">
      <alignment horizontal="center"/>
      <protection locked="0"/>
    </xf>
    <xf numFmtId="0" fontId="4" fillId="2" borderId="0" xfId="0" applyFont="1" applyFill="1" applyAlignment="1">
      <alignment horizontal="center"/>
    </xf>
    <xf numFmtId="0" fontId="11" fillId="4" borderId="0" xfId="0" applyFont="1" applyFill="1" applyAlignment="1">
      <alignment horizontal="left" vertical="top" wrapText="1"/>
    </xf>
    <xf numFmtId="0" fontId="0" fillId="4" borderId="0" xfId="0" applyFill="1" applyAlignment="1">
      <alignment horizontal="center"/>
    </xf>
    <xf numFmtId="0" fontId="19" fillId="4" borderId="0" xfId="0" applyFont="1" applyFill="1" applyAlignment="1">
      <alignment horizontal="center"/>
    </xf>
    <xf numFmtId="0" fontId="3" fillId="2" borderId="0" xfId="0" applyFont="1" applyFill="1" applyAlignment="1">
      <alignment horizontal="left"/>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latin typeface="Cambria" panose="02040503050406030204" pitchFamily="18" charset="0"/>
                <a:ea typeface="Cambria" panose="02040503050406030204" pitchFamily="18" charset="0"/>
              </a:rPr>
              <a:t>Estimated Annual Return on Investment to Years Held</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lineChart>
        <c:grouping val="standard"/>
        <c:varyColors val="0"/>
        <c:ser>
          <c:idx val="2"/>
          <c:order val="2"/>
          <c:tx>
            <c:strRef>
              <c:f>'All Cash'!$O$5</c:f>
              <c:strCache>
                <c:ptCount val="1"/>
                <c:pt idx="0">
                  <c:v>Return on Investment</c:v>
                </c:pt>
              </c:strCache>
            </c:strRef>
          </c:tx>
          <c:spPr>
            <a:ln w="22225" cap="rnd">
              <a:solidFill>
                <a:schemeClr val="accent1">
                  <a:tint val="65000"/>
                </a:schemeClr>
              </a:solidFill>
            </a:ln>
            <a:effectLst>
              <a:glow rad="139700">
                <a:schemeClr val="accent1">
                  <a:tint val="65000"/>
                  <a:satMod val="175000"/>
                  <a:alpha val="14000"/>
                </a:schemeClr>
              </a:glow>
            </a:effectLst>
          </c:spPr>
          <c:marker>
            <c:symbol val="circle"/>
            <c:size val="4"/>
            <c:spPr>
              <a:solidFill>
                <a:schemeClr val="accent1">
                  <a:tint val="65000"/>
                  <a:lumMod val="60000"/>
                  <a:lumOff val="40000"/>
                </a:schemeClr>
              </a:solidFill>
              <a:ln>
                <a:noFill/>
              </a:ln>
              <a:effectLst>
                <a:glow rad="63500">
                  <a:schemeClr val="accent1">
                    <a:tint val="65000"/>
                    <a:satMod val="175000"/>
                    <a:alpha val="25000"/>
                  </a:schemeClr>
                </a:glow>
              </a:effectLst>
            </c:spPr>
          </c:marker>
          <c:dLbls>
            <c:delete val="1"/>
          </c:dLbls>
          <c:val>
            <c:numRef>
              <c:f>'All Cash'!$O$7:$O$36</c:f>
              <c:numCache>
                <c:formatCode>0.00%</c:formatCode>
                <c:ptCount val="30"/>
                <c:pt idx="0">
                  <c:v>1.2011651846014005E-2</c:v>
                </c:pt>
                <c:pt idx="1">
                  <c:v>4.7148545818495091E-2</c:v>
                </c:pt>
                <c:pt idx="2">
                  <c:v>5.9249103419257876E-2</c:v>
                </c:pt>
                <c:pt idx="3">
                  <c:v>6.5600768741851903E-2</c:v>
                </c:pt>
                <c:pt idx="4">
                  <c:v>6.9661315975800372E-2</c:v>
                </c:pt>
                <c:pt idx="5">
                  <c:v>7.2583582649937556E-2</c:v>
                </c:pt>
                <c:pt idx="6">
                  <c:v>7.4861860345441927E-2</c:v>
                </c:pt>
                <c:pt idx="7">
                  <c:v>7.6743492600228877E-2</c:v>
                </c:pt>
                <c:pt idx="8">
                  <c:v>7.8366074418458026E-2</c:v>
                </c:pt>
                <c:pt idx="9">
                  <c:v>7.9812332268128741E-2</c:v>
                </c:pt>
                <c:pt idx="10">
                  <c:v>8.1135069716873329E-2</c:v>
                </c:pt>
                <c:pt idx="11">
                  <c:v>8.2369640422849971E-2</c:v>
                </c:pt>
                <c:pt idx="12">
                  <c:v>8.3540664525885877E-2</c:v>
                </c:pt>
                <c:pt idx="13">
                  <c:v>8.466586674411701E-2</c:v>
                </c:pt>
                <c:pt idx="14">
                  <c:v>8.5758379385414765E-2</c:v>
                </c:pt>
                <c:pt idx="15">
                  <c:v>8.682818187841583E-2</c:v>
                </c:pt>
                <c:pt idx="16">
                  <c:v>8.7883032378810511E-2</c:v>
                </c:pt>
                <c:pt idx="17">
                  <c:v>8.892908898197259E-2</c:v>
                </c:pt>
                <c:pt idx="18">
                  <c:v>8.9971334902189892E-2</c:v>
                </c:pt>
                <c:pt idx="19">
                  <c:v>9.1013876234807306E-2</c:v>
                </c:pt>
                <c:pt idx="20">
                  <c:v>9.2060154778200787E-2</c:v>
                </c:pt>
                <c:pt idx="21">
                  <c:v>9.3113102946501006E-2</c:v>
                </c:pt>
                <c:pt idx="22">
                  <c:v>9.4175258402077355E-2</c:v>
                </c:pt>
                <c:pt idx="23">
                  <c:v>9.5248850160605233E-2</c:v>
                </c:pt>
                <c:pt idx="24">
                  <c:v>9.633586416078524E-2</c:v>
                </c:pt>
                <c:pt idx="25">
                  <c:v>9.7438093831832273E-2</c:v>
                </c:pt>
                <c:pt idx="26">
                  <c:v>9.8557179552557425E-2</c:v>
                </c:pt>
                <c:pt idx="27">
                  <c:v>9.9694639783492286E-2</c:v>
                </c:pt>
                <c:pt idx="28">
                  <c:v>0.10085189588635504</c:v>
                </c:pt>
                <c:pt idx="29">
                  <c:v>0.10203029210815867</c:v>
                </c:pt>
              </c:numCache>
            </c:numRef>
          </c:val>
          <c:smooth val="0"/>
          <c:extLst>
            <c:ext xmlns:c16="http://schemas.microsoft.com/office/drawing/2014/chart" uri="{C3380CC4-5D6E-409C-BE32-E72D297353CC}">
              <c16:uniqueId val="{00000000-0CF2-4C58-88F0-63307AC26BC6}"/>
            </c:ext>
          </c:extLst>
        </c:ser>
        <c:dLbls>
          <c:dLblPos val="ctr"/>
          <c:showLegendKey val="0"/>
          <c:showVal val="1"/>
          <c:showCatName val="0"/>
          <c:showSerName val="0"/>
          <c:showPercent val="0"/>
          <c:showBubbleSize val="0"/>
        </c:dLbls>
        <c:marker val="1"/>
        <c:smooth val="0"/>
        <c:axId val="933060368"/>
        <c:axId val="933061808"/>
        <c:extLst>
          <c:ext xmlns:c15="http://schemas.microsoft.com/office/drawing/2012/chart" uri="{02D57815-91ED-43cb-92C2-25804820EDAC}">
            <c15:filteredLineSeries>
              <c15:ser>
                <c:idx val="0"/>
                <c:order val="0"/>
                <c:tx>
                  <c:strRef>
                    <c:extLst>
                      <c:ext uri="{02D57815-91ED-43cb-92C2-25804820EDAC}">
                        <c15:formulaRef>
                          <c15:sqref>'All Cash'!$M$5</c15:sqref>
                        </c15:formulaRef>
                      </c:ext>
                    </c:extLst>
                    <c:strCache>
                      <c:ptCount val="1"/>
                      <c:pt idx="0">
                        <c:v>Years</c:v>
                      </c:pt>
                    </c:strCache>
                  </c:strRef>
                </c:tx>
                <c:spPr>
                  <a:ln w="22225" cap="rnd">
                    <a:solidFill>
                      <a:schemeClr val="accent1">
                        <a:shade val="65000"/>
                      </a:schemeClr>
                    </a:solidFill>
                  </a:ln>
                  <a:effectLst>
                    <a:glow rad="139700">
                      <a:schemeClr val="accent1">
                        <a:shade val="65000"/>
                        <a:satMod val="175000"/>
                        <a:alpha val="14000"/>
                      </a:schemeClr>
                    </a:glow>
                  </a:effectLst>
                </c:spPr>
                <c:marker>
                  <c:symbol val="circle"/>
                  <c:size val="4"/>
                  <c:spPr>
                    <a:solidFill>
                      <a:schemeClr val="accent1">
                        <a:shade val="65000"/>
                        <a:lumMod val="60000"/>
                        <a:lumOff val="40000"/>
                      </a:schemeClr>
                    </a:solidFill>
                    <a:ln>
                      <a:noFill/>
                    </a:ln>
                    <a:effectLst>
                      <a:glow rad="63500">
                        <a:schemeClr val="accent1">
                          <a:shade val="65000"/>
                          <a:satMod val="175000"/>
                          <a:alpha val="25000"/>
                        </a:schemeClr>
                      </a:glow>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uri="{CE6537A1-D6FC-4f65-9D91-7224C49458BB}">
                      <c15:showLeaderLines val="1"/>
                      <c15:leaderLines>
                        <c:spPr>
                          <a:ln w="9525">
                            <a:solidFill>
                              <a:schemeClr val="lt1">
                                <a:lumMod val="50000"/>
                              </a:schemeClr>
                            </a:solidFill>
                            <a:round/>
                          </a:ln>
                          <a:effectLst/>
                        </c:spPr>
                      </c15:leaderLines>
                    </c:ext>
                  </c:extLst>
                </c:dLbls>
                <c:val>
                  <c:numRef>
                    <c:extLst>
                      <c:ext uri="{02D57815-91ED-43cb-92C2-25804820EDAC}">
                        <c15:formulaRef>
                          <c15:sqref>'All Cash'!$M$7:$M$36</c15:sqref>
                        </c15:formulaRef>
                      </c:ext>
                    </c:extLst>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val>
                <c:smooth val="0"/>
                <c:extLst>
                  <c:ext xmlns:c16="http://schemas.microsoft.com/office/drawing/2014/chart" uri="{C3380CC4-5D6E-409C-BE32-E72D297353CC}">
                    <c16:uniqueId val="{00000001-0CF2-4C58-88F0-63307AC26BC6}"/>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'All Cash'!$N$5</c15:sqref>
                        </c15:formulaRef>
                      </c:ext>
                    </c:extLst>
                    <c:strCache>
                      <c:ptCount val="1"/>
                      <c:pt idx="0">
                        <c:v>Total Projected Profit</c:v>
                      </c:pt>
                    </c:strCache>
                  </c:strRef>
                </c:tx>
                <c:spPr>
                  <a:ln w="22225" cap="rnd">
                    <a:solidFill>
                      <a:schemeClr val="accent1"/>
                    </a:solidFill>
                  </a:ln>
                  <a:effectLst>
                    <a:glow rad="139700">
                      <a:schemeClr val="accent1">
                        <a:satMod val="175000"/>
                        <a:alpha val="14000"/>
                      </a:schemeClr>
                    </a:glow>
                  </a:effectLst>
                </c:spPr>
                <c:marker>
                  <c:symbol val="circle"/>
                  <c:size val="4"/>
                  <c:spPr>
                    <a:solidFill>
                      <a:schemeClr val="accent1">
                        <a:lumMod val="60000"/>
                        <a:lumOff val="40000"/>
                      </a:schemeClr>
                    </a:solidFill>
                    <a:ln>
                      <a:noFill/>
                    </a:ln>
                    <a:effectLst>
                      <a:glow rad="63500">
                        <a:schemeClr val="accent1">
                          <a:satMod val="175000"/>
                          <a:alpha val="25000"/>
                        </a:schemeClr>
                      </a:glow>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'All Cash'!$N$7:$N$36</c15:sqref>
                        </c15:formulaRef>
                      </c:ext>
                    </c:extLst>
                    <c:numCache>
                      <c:formatCode>_("$"* #,##0_);_("$"* \(#,##0\);_("$"* "-"??_);_(@_)</c:formatCode>
                      <c:ptCount val="30"/>
                      <c:pt idx="0">
                        <c:v>4936.6687921932971</c:v>
                      </c:pt>
                      <c:pt idx="1">
                        <c:v>38755.161691886606</c:v>
                      </c:pt>
                      <c:pt idx="2">
                        <c:v>73052.367042842408</c:v>
                      </c:pt>
                      <c:pt idx="3">
                        <c:v>107845.03978085489</c:v>
                      </c:pt>
                      <c:pt idx="4">
                        <c:v>143150.52126447103</c:v>
                      </c:pt>
                      <c:pt idx="5">
                        <c:v>178986.75979978708</c:v>
                      </c:pt>
                      <c:pt idx="6">
                        <c:v>215372.33188361229</c:v>
                      </c:pt>
                      <c:pt idx="7">
                        <c:v>252326.46419014462</c:v>
                      </c:pt>
                      <c:pt idx="8">
                        <c:v>289869.05632717867</c:v>
                      </c:pt>
                      <c:pt idx="9">
                        <c:v>328020.70438878238</c:v>
                      </c:pt>
                      <c:pt idx="10">
                        <c:v>366802.72533231555</c:v>
                      </c:pt>
                      <c:pt idx="11">
                        <c:v>406237.18220864545</c:v>
                      </c:pt>
                      <c:pt idx="12">
                        <c:v>446346.91027541994</c:v>
                      </c:pt>
                      <c:pt idx="13">
                        <c:v>487155.54402430519</c:v>
                      </c:pt>
                      <c:pt idx="14">
                        <c:v>528687.54515417432</c:v>
                      </c:pt>
                      <c:pt idx="15">
                        <c:v>570968.2315233621</c:v>
                      </c:pt>
                      <c:pt idx="16">
                        <c:v>614023.8071152448</c:v>
                      </c:pt>
                      <c:pt idx="17">
                        <c:v>657881.39305261662</c:v>
                      </c:pt>
                      <c:pt idx="18">
                        <c:v>702569.0596975697</c:v>
                      </c:pt>
                      <c:pt idx="19">
                        <c:v>748115.85987486923</c:v>
                      </c:pt>
                      <c:pt idx="20">
                        <c:v>794551.86325814773</c:v>
                      </c:pt>
                      <c:pt idx="21">
                        <c:v>841908.19195961405</c:v>
                      </c:pt>
                      <c:pt idx="22">
                        <c:v>890217.05736540502</c:v>
                      </c:pt>
                      <c:pt idx="23">
                        <c:v>939511.79826017178</c:v>
                      </c:pt>
                      <c:pt idx="24">
                        <c:v>989826.92028602841</c:v>
                      </c:pt>
                      <c:pt idx="25">
                        <c:v>1041198.1367825636</c:v>
                      </c:pt>
                      <c:pt idx="26">
                        <c:v>1093662.4110562508</c:v>
                      </c:pt>
                      <c:pt idx="27">
                        <c:v>1147258.0001292902</c:v>
                      </c:pt>
                      <c:pt idx="28">
                        <c:v>1202024.5000196591</c:v>
                      </c:pt>
                      <c:pt idx="29">
                        <c:v>1258002.8926059643</c:v>
                      </c:pt>
                    </c:numCache>
                  </c:numRef>
                </c:val>
                <c:smooth val="0"/>
                <c:extLst xmlns:c15="http://schemas.microsoft.com/office/drawing/2012/chart">
                  <c:ext xmlns:c16="http://schemas.microsoft.com/office/drawing/2014/chart" uri="{C3380CC4-5D6E-409C-BE32-E72D297353CC}">
                    <c16:uniqueId val="{00000002-0CF2-4C58-88F0-63307AC26BC6}"/>
                  </c:ext>
                </c:extLst>
              </c15:ser>
            </c15:filteredLineSeries>
          </c:ext>
        </c:extLst>
      </c:lineChart>
      <c:catAx>
        <c:axId val="9330603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a:outerShdw blurRad="50800" dir="5400000" algn="ctr" rotWithShape="0">
                <a:srgbClr val="000000">
                  <a:alpha val="43137"/>
                </a:srgbClr>
              </a:outerShdw>
            </a:effectLst>
          </c:spPr>
        </c:majorGridlines>
        <c:majorTickMark val="in"/>
        <c:minorTickMark val="none"/>
        <c:tickLblPos val="low"/>
        <c:spPr>
          <a:noFill/>
          <a:ln>
            <a:noFill/>
          </a:ln>
          <a:effectLst/>
        </c:spPr>
        <c:txPr>
          <a:bodyPr rot="0" spcFirstLastPara="1" vertOverflow="ellipsis" wrap="square" anchor="b" anchorCtr="0"/>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en-US"/>
          </a:p>
        </c:txPr>
        <c:crossAx val="933061808"/>
        <c:crosses val="autoZero"/>
        <c:auto val="1"/>
        <c:lblAlgn val="ctr"/>
        <c:lblOffset val="100"/>
        <c:tickMarkSkip val="1"/>
        <c:noMultiLvlLbl val="0"/>
      </c:catAx>
      <c:valAx>
        <c:axId val="933061808"/>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Cambria" panose="02040503050406030204" pitchFamily="18" charset="0"/>
                <a:ea typeface="Cambria" panose="02040503050406030204" pitchFamily="18" charset="0"/>
                <a:cs typeface="+mn-cs"/>
              </a:defRPr>
            </a:pPr>
            <a:endParaRPr lang="en-US"/>
          </a:p>
        </c:txPr>
        <c:crossAx val="933060368"/>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1">
        <a:lumMod val="5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latin typeface="Cambria" panose="02040503050406030204" pitchFamily="18" charset="0"/>
                <a:ea typeface="Cambria" panose="02040503050406030204" pitchFamily="18" charset="0"/>
              </a:rPr>
              <a:t>Estimated Annual Return on Investment to Years Held</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lineChart>
        <c:grouping val="standard"/>
        <c:varyColors val="0"/>
        <c:ser>
          <c:idx val="2"/>
          <c:order val="2"/>
          <c:tx>
            <c:strRef>
              <c:f>'With Loan'!$O$5</c:f>
              <c:strCache>
                <c:ptCount val="1"/>
                <c:pt idx="0">
                  <c:v>Return on Investment</c:v>
                </c:pt>
              </c:strCache>
            </c:strRef>
          </c:tx>
          <c:spPr>
            <a:ln w="22225" cap="rnd">
              <a:solidFill>
                <a:schemeClr val="accent1">
                  <a:tint val="65000"/>
                </a:schemeClr>
              </a:solidFill>
            </a:ln>
            <a:effectLst>
              <a:glow rad="139700">
                <a:schemeClr val="accent1">
                  <a:tint val="65000"/>
                  <a:satMod val="175000"/>
                  <a:alpha val="14000"/>
                </a:schemeClr>
              </a:glow>
            </a:effectLst>
          </c:spPr>
          <c:marker>
            <c:symbol val="circle"/>
            <c:size val="4"/>
            <c:spPr>
              <a:solidFill>
                <a:schemeClr val="accent1">
                  <a:tint val="65000"/>
                  <a:lumMod val="60000"/>
                  <a:lumOff val="40000"/>
                </a:schemeClr>
              </a:solidFill>
              <a:ln>
                <a:noFill/>
              </a:ln>
              <a:effectLst>
                <a:glow rad="63500">
                  <a:schemeClr val="accent1">
                    <a:tint val="65000"/>
                    <a:satMod val="175000"/>
                    <a:alpha val="25000"/>
                  </a:schemeClr>
                </a:glow>
              </a:effectLst>
            </c:spPr>
          </c:marker>
          <c:dLbls>
            <c:delete val="1"/>
          </c:dLbls>
          <c:val>
            <c:numRef>
              <c:f>'With Loan'!$O$7:$O$36</c:f>
              <c:numCache>
                <c:formatCode>0.00%</c:formatCode>
                <c:ptCount val="30"/>
                <c:pt idx="0">
                  <c:v>-4.2191585317654282E-2</c:v>
                </c:pt>
                <c:pt idx="1">
                  <c:v>6.6750270973182632E-2</c:v>
                </c:pt>
                <c:pt idx="2">
                  <c:v>0.10477666514673152</c:v>
                </c:pt>
                <c:pt idx="3">
                  <c:v>0.12512036706507221</c:v>
                </c:pt>
                <c:pt idx="4">
                  <c:v>0.13842926083891482</c:v>
                </c:pt>
                <c:pt idx="5">
                  <c:v>0.1482537896015528</c:v>
                </c:pt>
                <c:pt idx="6">
                  <c:v>0.15611659171476908</c:v>
                </c:pt>
                <c:pt idx="7">
                  <c:v>0.16277991094295194</c:v>
                </c:pt>
                <c:pt idx="8">
                  <c:v>0.16866806754515498</c:v>
                </c:pt>
                <c:pt idx="9">
                  <c:v>0.17403644767622839</c:v>
                </c:pt>
                <c:pt idx="10">
                  <c:v>0.17904831765934726</c:v>
                </c:pt>
                <c:pt idx="11">
                  <c:v>0.18381323198510213</c:v>
                </c:pt>
                <c:pt idx="12">
                  <c:v>0.18840771536706966</c:v>
                </c:pt>
                <c:pt idx="13">
                  <c:v>0.19288708185337081</c:v>
                </c:pt>
                <c:pt idx="14">
                  <c:v>0.19729252706159192</c:v>
                </c:pt>
                <c:pt idx="15">
                  <c:v>0.201655561571673</c:v>
                </c:pt>
                <c:pt idx="16">
                  <c:v>0.20600088031949634</c:v>
                </c:pt>
                <c:pt idx="17">
                  <c:v>0.21034827623801552</c:v>
                </c:pt>
                <c:pt idx="18">
                  <c:v>0.21471395028968454</c:v>
                </c:pt>
                <c:pt idx="19">
                  <c:v>0.21911142917728516</c:v>
                </c:pt>
                <c:pt idx="20">
                  <c:v>0.2235522215307609</c:v>
                </c:pt>
                <c:pt idx="21">
                  <c:v>0.22804629580571872</c:v>
                </c:pt>
                <c:pt idx="22">
                  <c:v>0.23260243417854271</c:v>
                </c:pt>
                <c:pt idx="23">
                  <c:v>0.23722849862889187</c:v>
                </c:pt>
                <c:pt idx="24">
                  <c:v>0.24193163382011071</c:v>
                </c:pt>
                <c:pt idx="25">
                  <c:v>0.24671842381641629</c:v>
                </c:pt>
                <c:pt idx="26">
                  <c:v>0.25159501462797251</c:v>
                </c:pt>
                <c:pt idx="27">
                  <c:v>0.25656721114973119</c:v>
                </c:pt>
                <c:pt idx="28">
                  <c:v>0.26164055469772135</c:v>
                </c:pt>
                <c:pt idx="29">
                  <c:v>0.2668203856929518</c:v>
                </c:pt>
              </c:numCache>
            </c:numRef>
          </c:val>
          <c:smooth val="0"/>
          <c:extLst>
            <c:ext xmlns:c16="http://schemas.microsoft.com/office/drawing/2014/chart" uri="{C3380CC4-5D6E-409C-BE32-E72D297353CC}">
              <c16:uniqueId val="{00000000-F50A-4A7D-BD8C-8909B2749CF2}"/>
            </c:ext>
          </c:extLst>
        </c:ser>
        <c:dLbls>
          <c:dLblPos val="ctr"/>
          <c:showLegendKey val="0"/>
          <c:showVal val="1"/>
          <c:showCatName val="0"/>
          <c:showSerName val="0"/>
          <c:showPercent val="0"/>
          <c:showBubbleSize val="0"/>
        </c:dLbls>
        <c:marker val="1"/>
        <c:smooth val="0"/>
        <c:axId val="933060368"/>
        <c:axId val="933061808"/>
        <c:extLst>
          <c:ext xmlns:c15="http://schemas.microsoft.com/office/drawing/2012/chart" uri="{02D57815-91ED-43cb-92C2-25804820EDAC}">
            <c15:filteredLineSeries>
              <c15:ser>
                <c:idx val="0"/>
                <c:order val="0"/>
                <c:tx>
                  <c:strRef>
                    <c:extLst>
                      <c:ext uri="{02D57815-91ED-43cb-92C2-25804820EDAC}">
                        <c15:formulaRef>
                          <c15:sqref>'With Loan'!$M$5</c15:sqref>
                        </c15:formulaRef>
                      </c:ext>
                    </c:extLst>
                    <c:strCache>
                      <c:ptCount val="1"/>
                      <c:pt idx="0">
                        <c:v>Years</c:v>
                      </c:pt>
                    </c:strCache>
                  </c:strRef>
                </c:tx>
                <c:spPr>
                  <a:ln w="22225" cap="rnd">
                    <a:solidFill>
                      <a:schemeClr val="accent1">
                        <a:shade val="65000"/>
                      </a:schemeClr>
                    </a:solidFill>
                  </a:ln>
                  <a:effectLst>
                    <a:glow rad="139700">
                      <a:schemeClr val="accent1">
                        <a:shade val="65000"/>
                        <a:satMod val="175000"/>
                        <a:alpha val="14000"/>
                      </a:schemeClr>
                    </a:glow>
                  </a:effectLst>
                </c:spPr>
                <c:marker>
                  <c:symbol val="circle"/>
                  <c:size val="4"/>
                  <c:spPr>
                    <a:solidFill>
                      <a:schemeClr val="accent1">
                        <a:shade val="65000"/>
                        <a:lumMod val="60000"/>
                        <a:lumOff val="40000"/>
                      </a:schemeClr>
                    </a:solidFill>
                    <a:ln>
                      <a:noFill/>
                    </a:ln>
                    <a:effectLst>
                      <a:glow rad="63500">
                        <a:schemeClr val="accent1">
                          <a:shade val="65000"/>
                          <a:satMod val="175000"/>
                          <a:alpha val="25000"/>
                        </a:schemeClr>
                      </a:glow>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uri="{CE6537A1-D6FC-4f65-9D91-7224C49458BB}">
                      <c15:showLeaderLines val="1"/>
                      <c15:leaderLines>
                        <c:spPr>
                          <a:ln w="9525">
                            <a:solidFill>
                              <a:schemeClr val="lt1">
                                <a:lumMod val="50000"/>
                              </a:schemeClr>
                            </a:solidFill>
                            <a:round/>
                          </a:ln>
                          <a:effectLst/>
                        </c:spPr>
                      </c15:leaderLines>
                    </c:ext>
                  </c:extLst>
                </c:dLbls>
                <c:val>
                  <c:numRef>
                    <c:extLst>
                      <c:ext uri="{02D57815-91ED-43cb-92C2-25804820EDAC}">
                        <c15:formulaRef>
                          <c15:sqref>'With Loan'!$M$7:$M$36</c15:sqref>
                        </c15:formulaRef>
                      </c:ext>
                    </c:extLst>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val>
                <c:smooth val="0"/>
                <c:extLst>
                  <c:ext xmlns:c16="http://schemas.microsoft.com/office/drawing/2014/chart" uri="{C3380CC4-5D6E-409C-BE32-E72D297353CC}">
                    <c16:uniqueId val="{00000001-F50A-4A7D-BD8C-8909B2749CF2}"/>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'With Loan'!$N$5</c15:sqref>
                        </c15:formulaRef>
                      </c:ext>
                    </c:extLst>
                    <c:strCache>
                      <c:ptCount val="1"/>
                      <c:pt idx="0">
                        <c:v>Total Projected Profit</c:v>
                      </c:pt>
                    </c:strCache>
                  </c:strRef>
                </c:tx>
                <c:spPr>
                  <a:ln w="22225" cap="rnd">
                    <a:solidFill>
                      <a:schemeClr val="accent1"/>
                    </a:solidFill>
                  </a:ln>
                  <a:effectLst>
                    <a:glow rad="139700">
                      <a:schemeClr val="accent1">
                        <a:satMod val="175000"/>
                        <a:alpha val="14000"/>
                      </a:schemeClr>
                    </a:glow>
                  </a:effectLst>
                </c:spPr>
                <c:marker>
                  <c:symbol val="circle"/>
                  <c:size val="4"/>
                  <c:spPr>
                    <a:solidFill>
                      <a:schemeClr val="accent1">
                        <a:lumMod val="60000"/>
                        <a:lumOff val="40000"/>
                      </a:schemeClr>
                    </a:solidFill>
                    <a:ln>
                      <a:noFill/>
                    </a:ln>
                    <a:effectLst>
                      <a:glow rad="63500">
                        <a:schemeClr val="accent1">
                          <a:satMod val="175000"/>
                          <a:alpha val="25000"/>
                        </a:schemeClr>
                      </a:glow>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'With Loan'!$N$7:$N$36</c15:sqref>
                        </c15:formulaRef>
                      </c:ext>
                    </c:extLst>
                    <c:numCache>
                      <c:formatCode>_("$"* #,##0_);_("$"* \(#,##0\);_("$"* "-"??_);_(@_)</c:formatCode>
                      <c:ptCount val="30"/>
                      <c:pt idx="0">
                        <c:v>-5631.3595571626283</c:v>
                      </c:pt>
                      <c:pt idx="1">
                        <c:v>17818.471316399718</c:v>
                      </c:pt>
                      <c:pt idx="2">
                        <c:v>41953.987047373579</c:v>
                      </c:pt>
                      <c:pt idx="3">
                        <c:v>66799.838836372393</c:v>
                      </c:pt>
                      <c:pt idx="4">
                        <c:v>92381.565559471317</c:v>
                      </c:pt>
                      <c:pt idx="5">
                        <c:v>118725.62578618433</c:v>
                      </c:pt>
                      <c:pt idx="6">
                        <c:v>145859.43095428799</c:v>
                      </c:pt>
                      <c:pt idx="7">
                        <c:v>173811.37974336499</c:v>
                      </c:pt>
                      <c:pt idx="8">
                        <c:v>202610.89369045568</c:v>
                      </c:pt>
                      <c:pt idx="9">
                        <c:v>232288.45409278182</c:v>
                      </c:pt>
                      <c:pt idx="10">
                        <c:v>262875.64024413482</c:v>
                      </c:pt>
                      <c:pt idx="11">
                        <c:v>294405.16905321315</c:v>
                      </c:pt>
                      <c:pt idx="12">
                        <c:v>326910.93609394273</c:v>
                      </c:pt>
                      <c:pt idx="13">
                        <c:v>360428.05813963001</c:v>
                      </c:pt>
                      <c:pt idx="14">
                        <c:v>394992.91723467468</c:v>
                      </c:pt>
                      <c:pt idx="15">
                        <c:v>430643.20635952742</c:v>
                      </c:pt>
                      <c:pt idx="16">
                        <c:v>467417.97674658481</c:v>
                      </c:pt>
                      <c:pt idx="17">
                        <c:v>505357.68690681725</c:v>
                      </c:pt>
                      <c:pt idx="18">
                        <c:v>544504.25342909177</c:v>
                      </c:pt>
                      <c:pt idx="19">
                        <c:v>584901.10361639655</c:v>
                      </c:pt>
                      <c:pt idx="20">
                        <c:v>626593.23002551135</c:v>
                      </c:pt>
                      <c:pt idx="21">
                        <c:v>669627.2469790735</c:v>
                      </c:pt>
                      <c:pt idx="22">
                        <c:v>714051.4491214999</c:v>
                      </c:pt>
                      <c:pt idx="23">
                        <c:v>759915.87209281442</c:v>
                      </c:pt>
                      <c:pt idx="24">
                        <c:v>807272.35539711826</c:v>
                      </c:pt>
                      <c:pt idx="25">
                        <c:v>856174.60754522576</c:v>
                      </c:pt>
                      <c:pt idx="26">
                        <c:v>906678.27355387993</c:v>
                      </c:pt>
                      <c:pt idx="27">
                        <c:v>958841.00488694303</c:v>
                      </c:pt>
                      <c:pt idx="28">
                        <c:v>1012722.5319270736</c:v>
                      </c:pt>
                      <c:pt idx="29">
                        <c:v>1068384.7390695964</c:v>
                      </c:pt>
                    </c:numCache>
                  </c:numRef>
                </c:val>
                <c:smooth val="0"/>
                <c:extLst xmlns:c15="http://schemas.microsoft.com/office/drawing/2012/chart">
                  <c:ext xmlns:c16="http://schemas.microsoft.com/office/drawing/2014/chart" uri="{C3380CC4-5D6E-409C-BE32-E72D297353CC}">
                    <c16:uniqueId val="{00000002-F50A-4A7D-BD8C-8909B2749CF2}"/>
                  </c:ext>
                </c:extLst>
              </c15:ser>
            </c15:filteredLineSeries>
          </c:ext>
        </c:extLst>
      </c:lineChart>
      <c:catAx>
        <c:axId val="9330603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a:outerShdw blurRad="50800" dir="5400000" algn="ctr" rotWithShape="0">
                <a:srgbClr val="000000">
                  <a:alpha val="43137"/>
                </a:srgbClr>
              </a:outerShdw>
            </a:effectLst>
          </c:spPr>
        </c:majorGridlines>
        <c:majorTickMark val="in"/>
        <c:minorTickMark val="none"/>
        <c:tickLblPos val="low"/>
        <c:spPr>
          <a:noFill/>
          <a:ln>
            <a:noFill/>
          </a:ln>
          <a:effectLst/>
        </c:spPr>
        <c:txPr>
          <a:bodyPr rot="0" spcFirstLastPara="1" vertOverflow="ellipsis" wrap="square" anchor="b" anchorCtr="0"/>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en-US"/>
          </a:p>
        </c:txPr>
        <c:crossAx val="933061808"/>
        <c:crosses val="autoZero"/>
        <c:auto val="1"/>
        <c:lblAlgn val="ctr"/>
        <c:lblOffset val="100"/>
        <c:tickMarkSkip val="1"/>
        <c:noMultiLvlLbl val="0"/>
      </c:catAx>
      <c:valAx>
        <c:axId val="933061808"/>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Cambria" panose="02040503050406030204" pitchFamily="18" charset="0"/>
                <a:ea typeface="Cambria" panose="02040503050406030204" pitchFamily="18" charset="0"/>
                <a:cs typeface="+mn-cs"/>
              </a:defRPr>
            </a:pPr>
            <a:endParaRPr lang="en-US"/>
          </a:p>
        </c:txPr>
        <c:crossAx val="933060368"/>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1">
        <a:lumMod val="5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latin typeface="Cambria" panose="02040503050406030204" pitchFamily="18" charset="0"/>
                <a:ea typeface="Cambria" panose="02040503050406030204" pitchFamily="18" charset="0"/>
              </a:rPr>
              <a:t>Estimated Annual Return on Investment to Years Held</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lineChart>
        <c:grouping val="standard"/>
        <c:varyColors val="0"/>
        <c:ser>
          <c:idx val="2"/>
          <c:order val="2"/>
          <c:tx>
            <c:strRef>
              <c:f>'Owner Occupier'!$O$5</c:f>
              <c:strCache>
                <c:ptCount val="1"/>
                <c:pt idx="0">
                  <c:v>Return on Investment</c:v>
                </c:pt>
              </c:strCache>
            </c:strRef>
          </c:tx>
          <c:spPr>
            <a:ln w="22225" cap="rnd">
              <a:solidFill>
                <a:schemeClr val="accent1">
                  <a:tint val="65000"/>
                </a:schemeClr>
              </a:solidFill>
            </a:ln>
            <a:effectLst>
              <a:glow rad="139700">
                <a:schemeClr val="accent1">
                  <a:tint val="65000"/>
                  <a:satMod val="175000"/>
                  <a:alpha val="14000"/>
                </a:schemeClr>
              </a:glow>
            </a:effectLst>
          </c:spPr>
          <c:marker>
            <c:symbol val="circle"/>
            <c:size val="4"/>
            <c:spPr>
              <a:solidFill>
                <a:schemeClr val="accent1">
                  <a:tint val="65000"/>
                  <a:lumMod val="60000"/>
                  <a:lumOff val="40000"/>
                </a:schemeClr>
              </a:solidFill>
              <a:ln>
                <a:noFill/>
              </a:ln>
              <a:effectLst>
                <a:glow rad="63500">
                  <a:schemeClr val="accent1">
                    <a:tint val="65000"/>
                    <a:satMod val="175000"/>
                    <a:alpha val="25000"/>
                  </a:schemeClr>
                </a:glow>
              </a:effectLst>
            </c:spPr>
          </c:marker>
          <c:dLbls>
            <c:delete val="1"/>
          </c:dLbls>
          <c:val>
            <c:numRef>
              <c:f>'Owner Occupier'!$O$7:$O$36</c:f>
              <c:numCache>
                <c:formatCode>0.00%</c:formatCode>
                <c:ptCount val="30"/>
                <c:pt idx="0">
                  <c:v>-0.33223216798903926</c:v>
                </c:pt>
                <c:pt idx="1">
                  <c:v>0.23121024084432795</c:v>
                </c:pt>
                <c:pt idx="2">
                  <c:v>0.42903525103665419</c:v>
                </c:pt>
                <c:pt idx="3">
                  <c:v>0.53574274704717317</c:v>
                </c:pt>
                <c:pt idx="4">
                  <c:v>0.60624157098011477</c:v>
                </c:pt>
                <c:pt idx="5">
                  <c:v>0.6588423465624117</c:v>
                </c:pt>
                <c:pt idx="6">
                  <c:v>0.70139932091956947</c:v>
                </c:pt>
                <c:pt idx="7">
                  <c:v>0.737845833918222</c:v>
                </c:pt>
                <c:pt idx="8">
                  <c:v>0.77037281617300279</c:v>
                </c:pt>
                <c:pt idx="9">
                  <c:v>0.80030019594878754</c:v>
                </c:pt>
                <c:pt idx="10">
                  <c:v>0.8284730004867179</c:v>
                </c:pt>
                <c:pt idx="11">
                  <c:v>0.85545941360720057</c:v>
                </c:pt>
                <c:pt idx="12">
                  <c:v>0.8816574287741491</c:v>
                </c:pt>
                <c:pt idx="13">
                  <c:v>0.90735580013764916</c:v>
                </c:pt>
                <c:pt idx="14">
                  <c:v>0.93277061940574846</c:v>
                </c:pt>
                <c:pt idx="15">
                  <c:v>0.95806818247987868</c:v>
                </c:pt>
                <c:pt idx="16">
                  <c:v>0.98337979147520782</c:v>
                </c:pt>
                <c:pt idx="17">
                  <c:v>1.008811628591028</c:v>
                </c:pt>
                <c:pt idx="18">
                  <c:v>1.0344515176880511</c:v>
                </c:pt>
                <c:pt idx="19">
                  <c:v>1.0603736630953189</c:v>
                </c:pt>
                <c:pt idx="20">
                  <c:v>1.086642040121667</c:v>
                </c:pt>
                <c:pt idx="21">
                  <c:v>1.1133128664915173</c:v>
                </c:pt>
                <c:pt idx="22">
                  <c:v>1.1404364346393476</c:v>
                </c:pt>
                <c:pt idx="23">
                  <c:v>1.1680584914941345</c:v>
                </c:pt>
                <c:pt idx="24">
                  <c:v>1.1962212926714302</c:v>
                </c:pt>
                <c:pt idx="25">
                  <c:v>1.2249644189475475</c:v>
                </c:pt>
                <c:pt idx="26">
                  <c:v>1.2543254168618558</c:v>
                </c:pt>
                <c:pt idx="27">
                  <c:v>1.2843403076313511</c:v>
                </c:pt>
                <c:pt idx="28">
                  <c:v>1.3150439963814278</c:v>
                </c:pt>
                <c:pt idx="29">
                  <c:v>1.3464706051709276</c:v>
                </c:pt>
              </c:numCache>
            </c:numRef>
          </c:val>
          <c:smooth val="0"/>
          <c:extLst>
            <c:ext xmlns:c16="http://schemas.microsoft.com/office/drawing/2014/chart" uri="{C3380CC4-5D6E-409C-BE32-E72D297353CC}">
              <c16:uniqueId val="{00000000-3472-40B5-AC9C-E6F06108AAA9}"/>
            </c:ext>
          </c:extLst>
        </c:ser>
        <c:dLbls>
          <c:dLblPos val="ctr"/>
          <c:showLegendKey val="0"/>
          <c:showVal val="1"/>
          <c:showCatName val="0"/>
          <c:showSerName val="0"/>
          <c:showPercent val="0"/>
          <c:showBubbleSize val="0"/>
        </c:dLbls>
        <c:marker val="1"/>
        <c:smooth val="0"/>
        <c:axId val="933060368"/>
        <c:axId val="933061808"/>
        <c:extLst>
          <c:ext xmlns:c15="http://schemas.microsoft.com/office/drawing/2012/chart" uri="{02D57815-91ED-43cb-92C2-25804820EDAC}">
            <c15:filteredLineSeries>
              <c15:ser>
                <c:idx val="0"/>
                <c:order val="0"/>
                <c:tx>
                  <c:strRef>
                    <c:extLst>
                      <c:ext uri="{02D57815-91ED-43cb-92C2-25804820EDAC}">
                        <c15:formulaRef>
                          <c15:sqref>'Owner Occupier'!$M$5</c15:sqref>
                        </c15:formulaRef>
                      </c:ext>
                    </c:extLst>
                    <c:strCache>
                      <c:ptCount val="1"/>
                      <c:pt idx="0">
                        <c:v>Years</c:v>
                      </c:pt>
                    </c:strCache>
                  </c:strRef>
                </c:tx>
                <c:spPr>
                  <a:ln w="22225" cap="rnd">
                    <a:solidFill>
                      <a:schemeClr val="accent1">
                        <a:shade val="65000"/>
                      </a:schemeClr>
                    </a:solidFill>
                  </a:ln>
                  <a:effectLst>
                    <a:glow rad="139700">
                      <a:schemeClr val="accent1">
                        <a:shade val="65000"/>
                        <a:satMod val="175000"/>
                        <a:alpha val="14000"/>
                      </a:schemeClr>
                    </a:glow>
                  </a:effectLst>
                </c:spPr>
                <c:marker>
                  <c:symbol val="circle"/>
                  <c:size val="4"/>
                  <c:spPr>
                    <a:solidFill>
                      <a:schemeClr val="accent1">
                        <a:shade val="65000"/>
                        <a:lumMod val="60000"/>
                        <a:lumOff val="40000"/>
                      </a:schemeClr>
                    </a:solidFill>
                    <a:ln>
                      <a:noFill/>
                    </a:ln>
                    <a:effectLst>
                      <a:glow rad="63500">
                        <a:schemeClr val="accent1">
                          <a:shade val="65000"/>
                          <a:satMod val="175000"/>
                          <a:alpha val="25000"/>
                        </a:schemeClr>
                      </a:glow>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uri="{CE6537A1-D6FC-4f65-9D91-7224C49458BB}">
                      <c15:showLeaderLines val="1"/>
                      <c15:leaderLines>
                        <c:spPr>
                          <a:ln w="9525">
                            <a:solidFill>
                              <a:schemeClr val="lt1">
                                <a:lumMod val="50000"/>
                              </a:schemeClr>
                            </a:solidFill>
                            <a:round/>
                          </a:ln>
                          <a:effectLst/>
                        </c:spPr>
                      </c15:leaderLines>
                    </c:ext>
                  </c:extLst>
                </c:dLbls>
                <c:val>
                  <c:numRef>
                    <c:extLst>
                      <c:ext uri="{02D57815-91ED-43cb-92C2-25804820EDAC}">
                        <c15:formulaRef>
                          <c15:sqref>'Owner Occupier'!$M$7:$M$36</c15:sqref>
                        </c15:formulaRef>
                      </c:ext>
                    </c:extLst>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val>
                <c:smooth val="0"/>
                <c:extLst>
                  <c:ext xmlns:c16="http://schemas.microsoft.com/office/drawing/2014/chart" uri="{C3380CC4-5D6E-409C-BE32-E72D297353CC}">
                    <c16:uniqueId val="{00000001-3472-40B5-AC9C-E6F06108AAA9}"/>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'Owner Occupier'!$N$5</c15:sqref>
                        </c15:formulaRef>
                      </c:ext>
                    </c:extLst>
                    <c:strCache>
                      <c:ptCount val="1"/>
                      <c:pt idx="0">
                        <c:v>Total Projected Profit</c:v>
                      </c:pt>
                    </c:strCache>
                  </c:strRef>
                </c:tx>
                <c:spPr>
                  <a:ln w="22225" cap="rnd">
                    <a:solidFill>
                      <a:schemeClr val="accent1"/>
                    </a:solidFill>
                  </a:ln>
                  <a:effectLst>
                    <a:glow rad="139700">
                      <a:schemeClr val="accent1">
                        <a:satMod val="175000"/>
                        <a:alpha val="14000"/>
                      </a:schemeClr>
                    </a:glow>
                  </a:effectLst>
                </c:spPr>
                <c:marker>
                  <c:symbol val="circle"/>
                  <c:size val="4"/>
                  <c:spPr>
                    <a:solidFill>
                      <a:schemeClr val="accent1">
                        <a:lumMod val="60000"/>
                        <a:lumOff val="40000"/>
                      </a:schemeClr>
                    </a:solidFill>
                    <a:ln>
                      <a:noFill/>
                    </a:ln>
                    <a:effectLst>
                      <a:glow rad="63500">
                        <a:schemeClr val="accent1">
                          <a:satMod val="175000"/>
                          <a:alpha val="25000"/>
                        </a:schemeClr>
                      </a:glow>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'Owner Occupier'!$N$7:$N$36</c15:sqref>
                        </c15:formulaRef>
                      </c:ext>
                    </c:extLst>
                    <c:numCache>
                      <c:formatCode>_("$"* #,##0_);_("$"* \(#,##0\);_("$"* "-"??_);_(@_)</c:formatCode>
                      <c:ptCount val="30"/>
                      <c:pt idx="0">
                        <c:v>-8599.4321275797556</c:v>
                      </c:pt>
                      <c:pt idx="1">
                        <c:v>11969.200847569718</c:v>
                      </c:pt>
                      <c:pt idx="2">
                        <c:v>33315.192300258263</c:v>
                      </c:pt>
                      <c:pt idx="3">
                        <c:v>55468.239803043864</c:v>
                      </c:pt>
                      <c:pt idx="4">
                        <c:v>78459.188255557732</c:v>
                      </c:pt>
                      <c:pt idx="5">
                        <c:v>102320.07471761294</c:v>
                      </c:pt>
                      <c:pt idx="6">
                        <c:v>127084.1750141471</c:v>
                      </c:pt>
                      <c:pt idx="7">
                        <c:v>152786.05218279926</c:v>
                      </c:pt>
                      <c:pt idx="8">
                        <c:v>179461.60683777303</c:v>
                      </c:pt>
                      <c:pt idx="9">
                        <c:v>207148.12952662149</c:v>
                      </c:pt>
                      <c:pt idx="10">
                        <c:v>235884.35515967905</c:v>
                      </c:pt>
                      <c:pt idx="11">
                        <c:v>265710.51959509222</c:v>
                      </c:pt>
                      <c:pt idx="12">
                        <c:v>296668.41846575442</c:v>
                      </c:pt>
                      <c:pt idx="13">
                        <c:v>328801.46833794075</c:v>
                      </c:pt>
                      <c:pt idx="14">
                        <c:v>362154.77029507095</c:v>
                      </c:pt>
                      <c:pt idx="15">
                        <c:v>396775.1760438187</c:v>
                      </c:pt>
                      <c:pt idx="16">
                        <c:v>432711.3566437093</c:v>
                      </c:pt>
                      <c:pt idx="17">
                        <c:v>470013.8739654586</c:v>
                      </c:pt>
                      <c:pt idx="18">
                        <c:v>508735.25498756388</c:v>
                      </c:pt>
                      <c:pt idx="19">
                        <c:v>548930.06904509931</c:v>
                      </c:pt>
                      <c:pt idx="20">
                        <c:v>590655.00814929081</c:v>
                      </c:pt>
                      <c:pt idx="21">
                        <c:v>633968.97050125559</c:v>
                      </c:pt>
                      <c:pt idx="22">
                        <c:v>678933.14732829935</c:v>
                      </c:pt>
                      <c:pt idx="23">
                        <c:v>725611.11317637784</c:v>
                      </c:pt>
                      <c:pt idx="24">
                        <c:v>774068.91979775555</c:v>
                      </c:pt>
                      <c:pt idx="25">
                        <c:v>824375.19377854338</c:v>
                      </c:pt>
                      <c:pt idx="26">
                        <c:v>876601.23805667856</c:v>
                      </c:pt>
                      <c:pt idx="27">
                        <c:v>930821.1374870307</c:v>
                      </c:pt>
                      <c:pt idx="28">
                        <c:v>987111.86861669552</c:v>
                      </c:pt>
                      <c:pt idx="29">
                        <c:v>1045553.4138401642</c:v>
                      </c:pt>
                    </c:numCache>
                  </c:numRef>
                </c:val>
                <c:smooth val="0"/>
                <c:extLst xmlns:c15="http://schemas.microsoft.com/office/drawing/2012/chart">
                  <c:ext xmlns:c16="http://schemas.microsoft.com/office/drawing/2014/chart" uri="{C3380CC4-5D6E-409C-BE32-E72D297353CC}">
                    <c16:uniqueId val="{00000002-3472-40B5-AC9C-E6F06108AAA9}"/>
                  </c:ext>
                </c:extLst>
              </c15:ser>
            </c15:filteredLineSeries>
          </c:ext>
        </c:extLst>
      </c:lineChart>
      <c:catAx>
        <c:axId val="9330603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a:outerShdw blurRad="50800" dir="5400000" algn="ctr" rotWithShape="0">
                <a:srgbClr val="000000">
                  <a:alpha val="43137"/>
                </a:srgbClr>
              </a:outerShdw>
            </a:effectLst>
          </c:spPr>
        </c:majorGridlines>
        <c:majorTickMark val="in"/>
        <c:minorTickMark val="none"/>
        <c:tickLblPos val="low"/>
        <c:spPr>
          <a:noFill/>
          <a:ln>
            <a:noFill/>
          </a:ln>
          <a:effectLst/>
        </c:spPr>
        <c:txPr>
          <a:bodyPr rot="0" spcFirstLastPara="1" vertOverflow="ellipsis" wrap="square" anchor="b" anchorCtr="0"/>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en-US"/>
          </a:p>
        </c:txPr>
        <c:crossAx val="933061808"/>
        <c:crosses val="autoZero"/>
        <c:auto val="1"/>
        <c:lblAlgn val="ctr"/>
        <c:lblOffset val="100"/>
        <c:tickMarkSkip val="1"/>
        <c:noMultiLvlLbl val="0"/>
      </c:catAx>
      <c:valAx>
        <c:axId val="933061808"/>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Cambria" panose="02040503050406030204" pitchFamily="18" charset="0"/>
                <a:ea typeface="Cambria" panose="02040503050406030204" pitchFamily="18" charset="0"/>
                <a:cs typeface="+mn-cs"/>
              </a:defRPr>
            </a:pPr>
            <a:endParaRPr lang="en-US"/>
          </a:p>
        </c:txPr>
        <c:crossAx val="933060368"/>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1">
        <a:lumMod val="5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36">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36">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36">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xdr:from>
      <xdr:col>0</xdr:col>
      <xdr:colOff>76759</xdr:colOff>
      <xdr:row>38</xdr:row>
      <xdr:rowOff>95250</xdr:rowOff>
    </xdr:from>
    <xdr:to>
      <xdr:col>4</xdr:col>
      <xdr:colOff>1229285</xdr:colOff>
      <xdr:row>42</xdr:row>
      <xdr:rowOff>133350</xdr:rowOff>
    </xdr:to>
    <xdr:sp macro="" textlink="">
      <xdr:nvSpPr>
        <xdr:cNvPr id="7" name="TextBox 3">
          <a:extLst>
            <a:ext uri="{FF2B5EF4-FFF2-40B4-BE49-F238E27FC236}">
              <a16:creationId xmlns:a16="http://schemas.microsoft.com/office/drawing/2014/main" id="{7039BF56-D730-64D7-B859-B0E1DD282887}"/>
            </a:ext>
          </a:extLst>
        </xdr:cNvPr>
        <xdr:cNvSpPr txBox="1"/>
      </xdr:nvSpPr>
      <xdr:spPr>
        <a:xfrm>
          <a:off x="76759" y="7324725"/>
          <a:ext cx="5734051" cy="80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i="1" u="none" strike="noStrike">
              <a:solidFill>
                <a:schemeClr val="dk1"/>
              </a:solidFill>
              <a:effectLst/>
              <a:latin typeface="+mn-lt"/>
              <a:ea typeface="+mn-ea"/>
              <a:cs typeface="+mn-cs"/>
            </a:rPr>
            <a:t>DISCLAIMER - </a:t>
          </a:r>
          <a:r>
            <a:rPr lang="en-US" sz="900" b="0" i="1" u="none" strike="noStrike">
              <a:solidFill>
                <a:schemeClr val="dk1"/>
              </a:solidFill>
              <a:effectLst/>
              <a:latin typeface="+mn-lt"/>
              <a:ea typeface="+mn-ea"/>
              <a:cs typeface="+mn-cs"/>
            </a:rPr>
            <a:t>Returns are based on assumptions. Actual returns will vary. Rosehaven Homes, LLC and Magnolia Village at Cinco Lakes, LLC  (the "Parties")</a:t>
          </a:r>
          <a:r>
            <a:rPr lang="en-US" sz="900" b="0" i="1" u="none" strike="noStrike" baseline="0">
              <a:solidFill>
                <a:schemeClr val="dk1"/>
              </a:solidFill>
              <a:effectLst/>
              <a:latin typeface="+mn-lt"/>
              <a:ea typeface="+mn-ea"/>
              <a:cs typeface="+mn-cs"/>
            </a:rPr>
            <a:t> </a:t>
          </a:r>
          <a:r>
            <a:rPr lang="en-US" sz="900" b="0" i="1" u="none" strike="noStrike">
              <a:solidFill>
                <a:schemeClr val="dk1"/>
              </a:solidFill>
              <a:effectLst/>
              <a:latin typeface="+mn-lt"/>
              <a:ea typeface="+mn-ea"/>
              <a:cs typeface="+mn-cs"/>
            </a:rPr>
            <a:t>hereby disclaims all warranties, express or implied, and makes no warranties or representations of any kind regarding the information provided or the estimates in this document. Further, we encourage all investors to seek professional advice before making real estate investment decisions. The Parities hereby disclaim any liability for the accuracy, completeness, or correctness of any information or assumptions provided. </a:t>
          </a:r>
          <a:r>
            <a:rPr lang="en-US" sz="900"/>
            <a:t> </a:t>
          </a:r>
        </a:p>
      </xdr:txBody>
    </xdr:sp>
    <xdr:clientData/>
  </xdr:twoCellAnchor>
  <xdr:twoCellAnchor editAs="oneCell">
    <xdr:from>
      <xdr:col>1</xdr:col>
      <xdr:colOff>1800225</xdr:colOff>
      <xdr:row>0</xdr:row>
      <xdr:rowOff>76200</xdr:rowOff>
    </xdr:from>
    <xdr:to>
      <xdr:col>3</xdr:col>
      <xdr:colOff>571500</xdr:colOff>
      <xdr:row>3</xdr:row>
      <xdr:rowOff>142958</xdr:rowOff>
    </xdr:to>
    <xdr:pic>
      <xdr:nvPicPr>
        <xdr:cNvPr id="13" name="Picture 12">
          <a:extLst>
            <a:ext uri="{FF2B5EF4-FFF2-40B4-BE49-F238E27FC236}">
              <a16:creationId xmlns:a16="http://schemas.microsoft.com/office/drawing/2014/main" id="{E5F5B517-63C9-0186-EEBF-61F9B97EAD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5950" y="76200"/>
          <a:ext cx="2000250" cy="6334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66261</xdr:colOff>
      <xdr:row>0</xdr:row>
      <xdr:rowOff>36741</xdr:rowOff>
    </xdr:from>
    <xdr:to>
      <xdr:col>6</xdr:col>
      <xdr:colOff>626722</xdr:colOff>
      <xdr:row>3</xdr:row>
      <xdr:rowOff>8062</xdr:rowOff>
    </xdr:to>
    <xdr:pic>
      <xdr:nvPicPr>
        <xdr:cNvPr id="2" name="Picture 1">
          <a:extLst>
            <a:ext uri="{FF2B5EF4-FFF2-40B4-BE49-F238E27FC236}">
              <a16:creationId xmlns:a16="http://schemas.microsoft.com/office/drawing/2014/main" id="{503E81F2-F9C4-4D05-AD71-84085203C2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6686" y="36741"/>
          <a:ext cx="1774900" cy="634150"/>
        </a:xfrm>
        <a:prstGeom prst="rect">
          <a:avLst/>
        </a:prstGeom>
      </xdr:spPr>
    </xdr:pic>
    <xdr:clientData/>
  </xdr:twoCellAnchor>
  <xdr:twoCellAnchor>
    <xdr:from>
      <xdr:col>1</xdr:col>
      <xdr:colOff>438982</xdr:colOff>
      <xdr:row>4</xdr:row>
      <xdr:rowOff>103533</xdr:rowOff>
    </xdr:from>
    <xdr:to>
      <xdr:col>8</xdr:col>
      <xdr:colOff>438982</xdr:colOff>
      <xdr:row>20</xdr:row>
      <xdr:rowOff>103532</xdr:rowOff>
    </xdr:to>
    <xdr:graphicFrame macro="">
      <xdr:nvGraphicFramePr>
        <xdr:cNvPr id="3" name="Chart 2">
          <a:extLst>
            <a:ext uri="{FF2B5EF4-FFF2-40B4-BE49-F238E27FC236}">
              <a16:creationId xmlns:a16="http://schemas.microsoft.com/office/drawing/2014/main" id="{BC16C3B8-6024-4C65-83F2-833C41994B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66261</xdr:colOff>
      <xdr:row>0</xdr:row>
      <xdr:rowOff>36741</xdr:rowOff>
    </xdr:from>
    <xdr:to>
      <xdr:col>6</xdr:col>
      <xdr:colOff>645772</xdr:colOff>
      <xdr:row>3</xdr:row>
      <xdr:rowOff>8062</xdr:rowOff>
    </xdr:to>
    <xdr:pic>
      <xdr:nvPicPr>
        <xdr:cNvPr id="4" name="Picture 3">
          <a:extLst>
            <a:ext uri="{FF2B5EF4-FFF2-40B4-BE49-F238E27FC236}">
              <a16:creationId xmlns:a16="http://schemas.microsoft.com/office/drawing/2014/main" id="{6245581B-09C2-7A28-736B-AE93518CAF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06468" y="36741"/>
          <a:ext cx="1868907" cy="617585"/>
        </a:xfrm>
        <a:prstGeom prst="rect">
          <a:avLst/>
        </a:prstGeom>
      </xdr:spPr>
    </xdr:pic>
    <xdr:clientData/>
  </xdr:twoCellAnchor>
  <xdr:twoCellAnchor>
    <xdr:from>
      <xdr:col>1</xdr:col>
      <xdr:colOff>438982</xdr:colOff>
      <xdr:row>4</xdr:row>
      <xdr:rowOff>103533</xdr:rowOff>
    </xdr:from>
    <xdr:to>
      <xdr:col>8</xdr:col>
      <xdr:colOff>438982</xdr:colOff>
      <xdr:row>20</xdr:row>
      <xdr:rowOff>103532</xdr:rowOff>
    </xdr:to>
    <xdr:graphicFrame macro="">
      <xdr:nvGraphicFramePr>
        <xdr:cNvPr id="2" name="Chart 1">
          <a:extLst>
            <a:ext uri="{FF2B5EF4-FFF2-40B4-BE49-F238E27FC236}">
              <a16:creationId xmlns:a16="http://schemas.microsoft.com/office/drawing/2014/main" id="{E27D4E81-4D61-4243-A311-D0EB4E10A7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66261</xdr:colOff>
      <xdr:row>0</xdr:row>
      <xdr:rowOff>36741</xdr:rowOff>
    </xdr:from>
    <xdr:to>
      <xdr:col>6</xdr:col>
      <xdr:colOff>626723</xdr:colOff>
      <xdr:row>3</xdr:row>
      <xdr:rowOff>8062</xdr:rowOff>
    </xdr:to>
    <xdr:pic>
      <xdr:nvPicPr>
        <xdr:cNvPr id="2" name="Picture 1">
          <a:extLst>
            <a:ext uri="{FF2B5EF4-FFF2-40B4-BE49-F238E27FC236}">
              <a16:creationId xmlns:a16="http://schemas.microsoft.com/office/drawing/2014/main" id="{FCECE085-9FF9-4953-9F59-1A10FFCFE9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6686" y="36741"/>
          <a:ext cx="1774900" cy="634150"/>
        </a:xfrm>
        <a:prstGeom prst="rect">
          <a:avLst/>
        </a:prstGeom>
      </xdr:spPr>
    </xdr:pic>
    <xdr:clientData/>
  </xdr:twoCellAnchor>
  <xdr:twoCellAnchor>
    <xdr:from>
      <xdr:col>1</xdr:col>
      <xdr:colOff>438982</xdr:colOff>
      <xdr:row>4</xdr:row>
      <xdr:rowOff>103533</xdr:rowOff>
    </xdr:from>
    <xdr:to>
      <xdr:col>8</xdr:col>
      <xdr:colOff>438982</xdr:colOff>
      <xdr:row>20</xdr:row>
      <xdr:rowOff>103532</xdr:rowOff>
    </xdr:to>
    <xdr:graphicFrame macro="">
      <xdr:nvGraphicFramePr>
        <xdr:cNvPr id="3" name="Chart 2">
          <a:extLst>
            <a:ext uri="{FF2B5EF4-FFF2-40B4-BE49-F238E27FC236}">
              <a16:creationId xmlns:a16="http://schemas.microsoft.com/office/drawing/2014/main" id="{23D44A74-3BA2-49A3-95D5-EC29C70429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116C9-0766-4342-B34D-6EAF51367B17}">
  <sheetPr>
    <pageSetUpPr fitToPage="1"/>
  </sheetPr>
  <dimension ref="A5:G44"/>
  <sheetViews>
    <sheetView tabSelected="1" zoomScale="120" zoomScaleNormal="120" workbookViewId="0">
      <selection activeCell="D8" sqref="D8"/>
    </sheetView>
  </sheetViews>
  <sheetFormatPr defaultRowHeight="14.25"/>
  <cols>
    <col min="1" max="1" width="1.28515625" style="10" customWidth="1"/>
    <col min="2" max="2" width="29.42578125" style="102" customWidth="1"/>
    <col min="3" max="5" width="19" style="102" customWidth="1"/>
    <col min="7" max="7" width="10.7109375" bestFit="1" customWidth="1"/>
    <col min="8" max="8" width="12" bestFit="1" customWidth="1"/>
    <col min="9" max="9" width="10.28515625" customWidth="1"/>
  </cols>
  <sheetData>
    <row r="5" spans="2:7">
      <c r="B5" s="18" t="s">
        <v>0</v>
      </c>
      <c r="C5" s="91"/>
      <c r="D5" s="91"/>
      <c r="E5" s="91"/>
    </row>
    <row r="6" spans="2:7">
      <c r="B6" s="90" t="s">
        <v>1</v>
      </c>
      <c r="C6" s="91"/>
      <c r="D6" s="91"/>
      <c r="E6" s="91"/>
    </row>
    <row r="7" spans="2:7">
      <c r="B7" s="78" t="s">
        <v>2</v>
      </c>
      <c r="C7" s="78" t="s">
        <v>3</v>
      </c>
      <c r="D7" s="78" t="s">
        <v>4</v>
      </c>
      <c r="E7" s="78" t="s">
        <v>5</v>
      </c>
    </row>
    <row r="8" spans="2:7">
      <c r="B8" s="91" t="s">
        <v>6</v>
      </c>
      <c r="C8" s="92">
        <v>405990</v>
      </c>
      <c r="D8" s="92">
        <v>405990</v>
      </c>
      <c r="E8" s="92">
        <v>405990</v>
      </c>
      <c r="G8" s="3"/>
    </row>
    <row r="9" spans="2:7">
      <c r="B9" s="93" t="s">
        <v>7</v>
      </c>
      <c r="C9" s="94">
        <v>0</v>
      </c>
      <c r="D9" s="94">
        <v>0.3</v>
      </c>
      <c r="E9" s="94">
        <v>3.5000000000000003E-2</v>
      </c>
    </row>
    <row r="10" spans="2:7">
      <c r="B10" s="93" t="s">
        <v>8</v>
      </c>
      <c r="C10" s="94"/>
      <c r="D10" s="94">
        <v>3.7499999999999999E-2</v>
      </c>
      <c r="E10" s="94">
        <v>4.2500000000000003E-2</v>
      </c>
      <c r="G10" s="3"/>
    </row>
    <row r="11" spans="2:7">
      <c r="B11" s="93" t="s">
        <v>9</v>
      </c>
      <c r="C11" s="92">
        <v>1450</v>
      </c>
      <c r="D11" s="92">
        <v>1450</v>
      </c>
      <c r="E11" s="92">
        <v>1450</v>
      </c>
      <c r="G11" s="3"/>
    </row>
    <row r="12" spans="2:7">
      <c r="B12" s="93" t="s">
        <v>10</v>
      </c>
      <c r="C12" s="95">
        <v>3.5000000000000003E-2</v>
      </c>
      <c r="D12" s="95">
        <v>3.5000000000000003E-2</v>
      </c>
      <c r="E12" s="95">
        <v>3.5000000000000003E-2</v>
      </c>
    </row>
    <row r="13" spans="2:7">
      <c r="B13" s="96" t="s">
        <v>11</v>
      </c>
      <c r="C13" s="97">
        <v>15</v>
      </c>
      <c r="D13" s="97">
        <v>15</v>
      </c>
      <c r="E13" s="97">
        <v>15</v>
      </c>
    </row>
    <row r="14" spans="2:7" ht="14.25" customHeight="1">
      <c r="B14" s="107" t="s">
        <v>12</v>
      </c>
      <c r="C14" s="107"/>
      <c r="D14" s="107"/>
      <c r="E14" s="107"/>
    </row>
    <row r="15" spans="2:7">
      <c r="B15" s="91"/>
      <c r="C15" s="91"/>
      <c r="D15" s="91"/>
      <c r="E15" s="91"/>
    </row>
    <row r="16" spans="2:7">
      <c r="B16" s="90" t="s">
        <v>13</v>
      </c>
      <c r="C16" s="91"/>
      <c r="D16" s="91"/>
      <c r="E16" s="91"/>
    </row>
    <row r="17" spans="2:5">
      <c r="B17" s="78" t="s">
        <v>2</v>
      </c>
      <c r="C17" s="78" t="s">
        <v>3</v>
      </c>
      <c r="D17" s="78" t="s">
        <v>14</v>
      </c>
      <c r="E17" s="78" t="s">
        <v>5</v>
      </c>
    </row>
    <row r="18" spans="2:5">
      <c r="B18" s="91" t="s">
        <v>15</v>
      </c>
      <c r="C18" s="92">
        <f>'All Cash'!$D$25</f>
        <v>34800</v>
      </c>
      <c r="D18" s="92">
        <f>'With Loan'!I25</f>
        <v>34800</v>
      </c>
      <c r="E18" s="92">
        <f>'Owner Occupier'!D25</f>
        <v>17400</v>
      </c>
    </row>
    <row r="19" spans="2:5">
      <c r="B19" s="98" t="s">
        <v>16</v>
      </c>
      <c r="C19" s="99">
        <f>'All Cash'!$D$26</f>
        <v>410990.00000000012</v>
      </c>
      <c r="D19" s="99">
        <f>'With Loan'!D38</f>
        <v>133471.15342466856</v>
      </c>
      <c r="E19" s="99">
        <f>'Owner Occupier'!D38</f>
        <v>25883.803424668564</v>
      </c>
    </row>
    <row r="20" spans="2:5">
      <c r="B20" s="91" t="s">
        <v>17</v>
      </c>
      <c r="C20" s="92">
        <f>'All Cash'!$H$37</f>
        <v>302114.91438289999</v>
      </c>
      <c r="D20" s="92">
        <f>'With Loan'!$H$38</f>
        <v>65209.337614716096</v>
      </c>
      <c r="E20" s="92"/>
    </row>
    <row r="21" spans="2:5">
      <c r="B21" s="91" t="s">
        <v>18</v>
      </c>
      <c r="C21" s="92"/>
      <c r="D21" s="92">
        <f>'With Loan'!$H$35</f>
        <v>103210.94884868429</v>
      </c>
      <c r="E21" s="92">
        <f>'Owner Occupier'!$H$34</f>
        <v>63095.644977594951</v>
      </c>
    </row>
    <row r="22" spans="2:5">
      <c r="B22" s="91" t="s">
        <v>19</v>
      </c>
      <c r="C22" s="92">
        <f>'All Cash'!$H$33</f>
        <v>274184.87179706921</v>
      </c>
      <c r="D22" s="92">
        <f>'With Loan'!$H$33</f>
        <v>274184.87179706921</v>
      </c>
      <c r="E22" s="92">
        <f>'Owner Occupier'!$H$32</f>
        <v>274184.87179706921</v>
      </c>
    </row>
    <row r="23" spans="2:5">
      <c r="B23" s="98" t="s">
        <v>20</v>
      </c>
      <c r="C23" s="99">
        <f>'All Cash'!$D$29</f>
        <v>528687.54515417432</v>
      </c>
      <c r="D23" s="99">
        <f>'With Loan'!H39</f>
        <v>394992.91723467468</v>
      </c>
      <c r="E23" s="99">
        <f>'Owner Occupier'!D31</f>
        <v>289668.27574886929</v>
      </c>
    </row>
    <row r="24" spans="2:5">
      <c r="B24" s="90" t="s">
        <v>21</v>
      </c>
      <c r="C24" s="104">
        <f>'All Cash'!$D$30</f>
        <v>8.5758379385414765E-2</v>
      </c>
      <c r="D24" s="104">
        <f>'With Loan'!H43</f>
        <v>0.19729252706159192</v>
      </c>
      <c r="E24" s="104">
        <f>'Owner Occupier'!H38</f>
        <v>0.74607344471073334</v>
      </c>
    </row>
    <row r="25" spans="2:5">
      <c r="B25" s="91" t="s">
        <v>22</v>
      </c>
      <c r="C25" s="104">
        <f>'All Cash'!$D$32</f>
        <v>4.9609582236491867E-2</v>
      </c>
      <c r="D25" s="104"/>
      <c r="E25" s="104"/>
    </row>
    <row r="26" spans="2:5">
      <c r="B26" s="91" t="s">
        <v>23</v>
      </c>
      <c r="C26" s="94"/>
      <c r="D26" s="104">
        <f>'With Loan'!H41</f>
        <v>3.2571001769067853E-2</v>
      </c>
      <c r="E26" s="94"/>
    </row>
    <row r="27" spans="2:5">
      <c r="B27" s="91" t="s">
        <v>24</v>
      </c>
      <c r="C27" s="94"/>
      <c r="D27" s="104">
        <f>D26+D12</f>
        <v>6.7571001769067857E-2</v>
      </c>
      <c r="E27" s="94"/>
    </row>
    <row r="28" spans="2:5">
      <c r="B28" s="91" t="s">
        <v>25</v>
      </c>
      <c r="C28" s="92"/>
      <c r="D28" s="92"/>
      <c r="E28" s="105">
        <f>-1*'Owner Occupier'!H26</f>
        <v>1568.8607645169309</v>
      </c>
    </row>
    <row r="29" spans="2:5">
      <c r="B29" s="98" t="s">
        <v>26</v>
      </c>
      <c r="C29" s="101">
        <f>'All Cash'!H43</f>
        <v>7.4765377394907517E-2</v>
      </c>
      <c r="D29" s="101">
        <f>'With Loan'!H44</f>
        <v>0.1047858167925213</v>
      </c>
      <c r="E29" s="101"/>
    </row>
    <row r="30" spans="2:5">
      <c r="B30" s="91"/>
      <c r="C30" s="92"/>
      <c r="D30" s="92"/>
      <c r="E30" s="92"/>
    </row>
    <row r="31" spans="2:5">
      <c r="B31" s="90" t="s">
        <v>27</v>
      </c>
      <c r="C31" s="91"/>
      <c r="D31" s="106" t="s">
        <v>28</v>
      </c>
      <c r="E31" s="106" t="s">
        <v>28</v>
      </c>
    </row>
    <row r="32" spans="2:5">
      <c r="B32" s="78" t="s">
        <v>2</v>
      </c>
      <c r="C32" s="78" t="s">
        <v>29</v>
      </c>
      <c r="D32" s="78" t="s">
        <v>30</v>
      </c>
      <c r="E32" s="78" t="s">
        <v>31</v>
      </c>
    </row>
    <row r="33" spans="2:5">
      <c r="B33" s="91" t="s">
        <v>32</v>
      </c>
      <c r="C33" s="92">
        <f>C8</f>
        <v>405990</v>
      </c>
      <c r="D33" s="92">
        <v>475000</v>
      </c>
      <c r="E33" s="92">
        <v>565000</v>
      </c>
    </row>
    <row r="34" spans="2:5">
      <c r="B34" s="91" t="s">
        <v>33</v>
      </c>
      <c r="C34" s="92">
        <f>C11</f>
        <v>1450</v>
      </c>
      <c r="D34" s="92">
        <v>1450</v>
      </c>
      <c r="E34" s="92">
        <v>1725</v>
      </c>
    </row>
    <row r="35" spans="2:5">
      <c r="B35" s="91" t="s">
        <v>34</v>
      </c>
      <c r="C35" s="92">
        <f>C34*2</f>
        <v>2900</v>
      </c>
      <c r="D35" s="92">
        <f>D34*2</f>
        <v>2900</v>
      </c>
      <c r="E35" s="92">
        <f>E34*2</f>
        <v>3450</v>
      </c>
    </row>
    <row r="36" spans="2:5">
      <c r="B36" s="100" t="s">
        <v>35</v>
      </c>
      <c r="C36" s="101">
        <f>C35/C33</f>
        <v>7.1430330796325029E-3</v>
      </c>
      <c r="D36" s="101">
        <f>D35/D33</f>
        <v>6.1052631578947369E-3</v>
      </c>
      <c r="E36" s="101">
        <f>E35/E33</f>
        <v>6.1061946902654868E-3</v>
      </c>
    </row>
    <row r="37" spans="2:5" ht="15" customHeight="1">
      <c r="B37" s="108" t="s">
        <v>36</v>
      </c>
      <c r="C37" s="108"/>
      <c r="D37" s="108"/>
      <c r="E37" s="108"/>
    </row>
    <row r="38" spans="2:5">
      <c r="B38" s="109"/>
      <c r="C38" s="109"/>
      <c r="D38" s="109"/>
      <c r="E38" s="109"/>
    </row>
    <row r="43" spans="2:5">
      <c r="E43" s="103"/>
    </row>
    <row r="44" spans="2:5">
      <c r="B44" s="110" t="s">
        <v>37</v>
      </c>
      <c r="C44" s="110"/>
      <c r="D44" s="110"/>
      <c r="E44" s="110"/>
    </row>
  </sheetData>
  <mergeCells count="3">
    <mergeCell ref="B14:E14"/>
    <mergeCell ref="B37:E38"/>
    <mergeCell ref="B44:E44"/>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9BC52-B97A-49E2-8435-53CAD6E7E736}">
  <sheetPr>
    <pageSetUpPr fitToPage="1"/>
  </sheetPr>
  <dimension ref="A1:AA70"/>
  <sheetViews>
    <sheetView topLeftCell="B1" zoomScale="85" zoomScaleNormal="85" workbookViewId="0">
      <selection activeCell="B5" sqref="B5"/>
    </sheetView>
  </sheetViews>
  <sheetFormatPr defaultRowHeight="14.25" outlineLevelCol="1"/>
  <cols>
    <col min="1" max="1" width="2.85546875" customWidth="1"/>
    <col min="2" max="2" width="43.85546875" customWidth="1"/>
    <col min="3" max="3" width="9" customWidth="1"/>
    <col min="4" max="4" width="12.7109375" style="8" customWidth="1"/>
    <col min="5" max="5" width="13.140625" style="9" customWidth="1"/>
    <col min="6" max="6" width="5.28515625" customWidth="1"/>
    <col min="7" max="7" width="47.5703125" bestFit="1" customWidth="1"/>
    <col min="8" max="8" width="14.140625" bestFit="1" customWidth="1"/>
    <col min="9" max="9" width="13.140625" customWidth="1"/>
    <col min="10" max="10" width="13.42578125" bestFit="1" customWidth="1"/>
    <col min="12" max="12" width="9" style="30" customWidth="1"/>
    <col min="13" max="13" width="9.28515625" style="30" hidden="1" customWidth="1" outlineLevel="1"/>
    <col min="14" max="14" width="20.28515625" style="30" hidden="1" customWidth="1" outlineLevel="1"/>
    <col min="15" max="15" width="20.85546875" style="30" hidden="1" customWidth="1" outlineLevel="1"/>
    <col min="16" max="16" width="26.28515625" style="30" hidden="1" customWidth="1" outlineLevel="1"/>
    <col min="17" max="17" width="19.28515625" style="30" hidden="1" customWidth="1" outlineLevel="1"/>
    <col min="18" max="18" width="9.5703125" style="30" hidden="1" customWidth="1" outlineLevel="1"/>
    <col min="19" max="19" width="12.7109375" style="30" hidden="1" customWidth="1" outlineLevel="1"/>
    <col min="20" max="20" width="12.5703125" style="30" hidden="1" customWidth="1" outlineLevel="1"/>
    <col min="21" max="21" width="17.5703125" style="30" hidden="1" customWidth="1" outlineLevel="1"/>
    <col min="22" max="22" width="16.42578125" style="30" hidden="1" customWidth="1" outlineLevel="1"/>
    <col min="23" max="23" width="24.140625" style="30" hidden="1" customWidth="1" outlineLevel="1"/>
    <col min="24" max="24" width="13.5703125" style="30" hidden="1" customWidth="1" outlineLevel="1"/>
    <col min="25" max="25" width="12.42578125" style="30" hidden="1" customWidth="1" outlineLevel="1"/>
    <col min="26" max="26" width="20.5703125" hidden="1" customWidth="1" outlineLevel="1"/>
    <col min="27" max="27" width="9.140625" collapsed="1"/>
  </cols>
  <sheetData>
    <row r="1" spans="1:26">
      <c r="A1" s="10"/>
      <c r="B1" s="113"/>
      <c r="C1" s="113"/>
      <c r="D1" s="113"/>
      <c r="E1" s="113"/>
      <c r="F1" s="113"/>
      <c r="G1" s="113"/>
      <c r="H1" s="113"/>
      <c r="I1" s="113"/>
    </row>
    <row r="2" spans="1:26">
      <c r="A2" s="10"/>
      <c r="B2" s="113"/>
      <c r="C2" s="113"/>
      <c r="D2" s="113"/>
      <c r="E2" s="113"/>
      <c r="F2" s="113"/>
      <c r="G2" s="113"/>
      <c r="H2" s="113"/>
      <c r="I2" s="113"/>
    </row>
    <row r="3" spans="1:26" ht="23.25" customHeight="1">
      <c r="A3" s="10"/>
      <c r="B3" s="113"/>
      <c r="C3" s="113"/>
      <c r="D3" s="113"/>
      <c r="E3" s="113"/>
      <c r="F3" s="113"/>
      <c r="G3" s="113"/>
      <c r="H3" s="113"/>
      <c r="I3" s="113"/>
    </row>
    <row r="4" spans="1:26" ht="22.5">
      <c r="A4" s="10"/>
      <c r="B4" s="114" t="s">
        <v>38</v>
      </c>
      <c r="C4" s="114"/>
      <c r="D4" s="114"/>
      <c r="E4" s="114"/>
      <c r="F4" s="114"/>
      <c r="G4" s="114"/>
      <c r="H4" s="114"/>
      <c r="I4" s="114"/>
    </row>
    <row r="5" spans="1:26">
      <c r="A5" s="10"/>
      <c r="B5" s="43"/>
      <c r="C5" s="43"/>
      <c r="D5" s="44"/>
      <c r="E5" s="45"/>
      <c r="F5" s="43"/>
      <c r="G5" s="43"/>
      <c r="H5" s="43"/>
      <c r="I5" s="43"/>
      <c r="M5" s="31" t="s">
        <v>39</v>
      </c>
      <c r="N5" s="31" t="s">
        <v>40</v>
      </c>
      <c r="O5" s="32" t="s">
        <v>41</v>
      </c>
      <c r="P5" s="31" t="s">
        <v>42</v>
      </c>
      <c r="Q5" s="31" t="s">
        <v>10</v>
      </c>
      <c r="R5" s="31" t="s">
        <v>6</v>
      </c>
      <c r="S5" s="31" t="s">
        <v>43</v>
      </c>
      <c r="T5" s="31" t="s">
        <v>44</v>
      </c>
      <c r="U5" s="31" t="s">
        <v>45</v>
      </c>
      <c r="V5" s="31" t="s">
        <v>46</v>
      </c>
      <c r="W5" s="33" t="s">
        <v>17</v>
      </c>
      <c r="X5" s="33" t="s">
        <v>47</v>
      </c>
      <c r="Y5" s="33" t="s">
        <v>48</v>
      </c>
      <c r="Z5" s="33" t="s">
        <v>49</v>
      </c>
    </row>
    <row r="6" spans="1:26" ht="14.25" customHeight="1">
      <c r="A6" s="10"/>
      <c r="B6" s="43"/>
      <c r="C6" s="43"/>
      <c r="D6" s="44"/>
      <c r="E6" s="45"/>
      <c r="F6" s="43"/>
      <c r="G6" s="43"/>
      <c r="H6" s="43"/>
      <c r="I6" s="43"/>
      <c r="M6" s="30">
        <v>0</v>
      </c>
      <c r="X6" s="34">
        <f>-$D$38</f>
        <v>-410990.00000000012</v>
      </c>
      <c r="Z6" s="70">
        <f t="shared" ref="Z6:Z36" si="0">IF($H$32&gt;=M6,SUM(X6:Y6),0)</f>
        <v>-410990.00000000012</v>
      </c>
    </row>
    <row r="7" spans="1:26" ht="14.25" customHeight="1">
      <c r="A7" s="10"/>
      <c r="B7" s="43"/>
      <c r="C7" s="43"/>
      <c r="D7" s="44"/>
      <c r="E7" s="45"/>
      <c r="F7" s="43"/>
      <c r="G7" s="43"/>
      <c r="H7" s="43"/>
      <c r="I7" s="43"/>
      <c r="M7" s="30">
        <v>1</v>
      </c>
      <c r="N7" s="34">
        <f t="shared" ref="N7:N36" si="1">W7+T7+U7-V7</f>
        <v>4936.6687921932971</v>
      </c>
      <c r="O7" s="35">
        <f t="shared" ref="O7:O36" si="2">N7/P7/M7</f>
        <v>1.2011651846014005E-2</v>
      </c>
      <c r="P7" s="36">
        <f>'All Cash'!$D$38</f>
        <v>410990.00000000012</v>
      </c>
      <c r="Q7" s="37">
        <f>'All Cash'!$H$31</f>
        <v>3.5000000000000003E-2</v>
      </c>
      <c r="R7" s="38">
        <f>'All Cash'!$D$24</f>
        <v>405990</v>
      </c>
      <c r="S7" s="38">
        <v>0</v>
      </c>
      <c r="T7" s="39">
        <f t="shared" ref="T7:T36" si="3">$R$7*(1+Q7)^M7-$R$7</f>
        <v>14209.649999999965</v>
      </c>
      <c r="U7" s="39">
        <v>0</v>
      </c>
      <c r="V7" s="39">
        <f>(R7+T7)*'All Cash'!$H$35</f>
        <v>29413.9755</v>
      </c>
      <c r="W7" s="36">
        <f>'All Cash'!$I$27*'All Cash'!$M7</f>
        <v>20140.994292193333</v>
      </c>
      <c r="X7" s="34">
        <f t="shared" ref="X7:X36" si="4">$I$28</f>
        <v>22228.994292193333</v>
      </c>
      <c r="Y7" s="80">
        <f t="shared" ref="Y7:Y36" si="5">IF($H$32=$M7,R7+T7-V7,0)</f>
        <v>0</v>
      </c>
      <c r="Z7" s="70">
        <f t="shared" si="0"/>
        <v>22228.994292193333</v>
      </c>
    </row>
    <row r="8" spans="1:26" ht="14.25" customHeight="1">
      <c r="A8" s="10"/>
      <c r="B8" s="43"/>
      <c r="C8" s="43"/>
      <c r="D8" s="44"/>
      <c r="E8" s="45"/>
      <c r="F8" s="43"/>
      <c r="G8" s="43"/>
      <c r="H8" s="43"/>
      <c r="I8" s="43"/>
      <c r="M8" s="30">
        <v>2</v>
      </c>
      <c r="N8" s="34">
        <f t="shared" si="1"/>
        <v>38755.161691886606</v>
      </c>
      <c r="O8" s="35">
        <f t="shared" si="2"/>
        <v>4.7148545818495091E-2</v>
      </c>
      <c r="P8" s="36">
        <f>'All Cash'!$D$38</f>
        <v>410990.00000000012</v>
      </c>
      <c r="Q8" s="37">
        <f>'All Cash'!$H$31</f>
        <v>3.5000000000000003E-2</v>
      </c>
      <c r="R8" s="38">
        <f>'All Cash'!$D$24</f>
        <v>405990</v>
      </c>
      <c r="S8" s="38">
        <v>0</v>
      </c>
      <c r="T8" s="39">
        <f t="shared" si="3"/>
        <v>28916.637749999936</v>
      </c>
      <c r="U8" s="39">
        <v>0</v>
      </c>
      <c r="V8" s="39">
        <f>(R8+T8)*'All Cash'!$H$35</f>
        <v>30443.464642499999</v>
      </c>
      <c r="W8" s="36">
        <f>'All Cash'!$I$27*'All Cash'!$M8</f>
        <v>40281.988584386665</v>
      </c>
      <c r="X8" s="34">
        <f t="shared" si="4"/>
        <v>22228.994292193333</v>
      </c>
      <c r="Y8" s="80">
        <f t="shared" si="5"/>
        <v>0</v>
      </c>
      <c r="Z8" s="70">
        <f t="shared" si="0"/>
        <v>22228.994292193333</v>
      </c>
    </row>
    <row r="9" spans="1:26" ht="14.25" customHeight="1">
      <c r="A9" s="10"/>
      <c r="B9" s="43"/>
      <c r="C9" s="43"/>
      <c r="D9" s="44"/>
      <c r="E9" s="45"/>
      <c r="F9" s="43"/>
      <c r="G9" s="43"/>
      <c r="H9" s="43"/>
      <c r="I9" s="43"/>
      <c r="M9" s="30">
        <v>3</v>
      </c>
      <c r="N9" s="34">
        <f t="shared" si="1"/>
        <v>73052.367042842408</v>
      </c>
      <c r="O9" s="35">
        <f t="shared" si="2"/>
        <v>5.9249103419257876E-2</v>
      </c>
      <c r="P9" s="36">
        <f>'All Cash'!$D$38</f>
        <v>410990.00000000012</v>
      </c>
      <c r="Q9" s="37">
        <f>'All Cash'!$H$31</f>
        <v>3.5000000000000003E-2</v>
      </c>
      <c r="R9" s="38">
        <f>'All Cash'!$D$24</f>
        <v>405990</v>
      </c>
      <c r="S9" s="38">
        <v>0</v>
      </c>
      <c r="T9" s="39">
        <f t="shared" si="3"/>
        <v>44138.370071249898</v>
      </c>
      <c r="U9" s="39">
        <v>0</v>
      </c>
      <c r="V9" s="39">
        <f>(R9+T9)*'All Cash'!$H$35</f>
        <v>31508.985904987498</v>
      </c>
      <c r="W9" s="36">
        <f>'All Cash'!$I$27*'All Cash'!$M9</f>
        <v>60422.982876579998</v>
      </c>
      <c r="X9" s="34">
        <f t="shared" si="4"/>
        <v>22228.994292193333</v>
      </c>
      <c r="Y9" s="80">
        <f t="shared" si="5"/>
        <v>0</v>
      </c>
      <c r="Z9" s="70">
        <f t="shared" si="0"/>
        <v>22228.994292193333</v>
      </c>
    </row>
    <row r="10" spans="1:26" ht="14.25" customHeight="1">
      <c r="A10" s="10"/>
      <c r="B10" s="43"/>
      <c r="C10" s="43"/>
      <c r="D10" s="44"/>
      <c r="E10" s="45"/>
      <c r="F10" s="43"/>
      <c r="G10" s="43"/>
      <c r="H10" s="43"/>
      <c r="I10" s="43"/>
      <c r="M10" s="30">
        <v>4</v>
      </c>
      <c r="N10" s="34">
        <f t="shared" si="1"/>
        <v>107845.03978085489</v>
      </c>
      <c r="O10" s="35">
        <f t="shared" si="2"/>
        <v>6.5600768741851903E-2</v>
      </c>
      <c r="P10" s="36">
        <f>'All Cash'!$D$38</f>
        <v>410990.00000000012</v>
      </c>
      <c r="Q10" s="37">
        <f>'All Cash'!$H$31</f>
        <v>3.5000000000000003E-2</v>
      </c>
      <c r="R10" s="38">
        <f>'All Cash'!$D$24</f>
        <v>405990</v>
      </c>
      <c r="S10" s="38">
        <v>0</v>
      </c>
      <c r="T10" s="39">
        <f t="shared" si="3"/>
        <v>59892.863023743615</v>
      </c>
      <c r="U10" s="39">
        <v>0</v>
      </c>
      <c r="V10" s="39">
        <f>(R10+T10)*'All Cash'!$H$35</f>
        <v>32611.800411662058</v>
      </c>
      <c r="W10" s="36">
        <f>'All Cash'!$I$27*'All Cash'!$M10</f>
        <v>80563.97716877333</v>
      </c>
      <c r="X10" s="34">
        <f t="shared" si="4"/>
        <v>22228.994292193333</v>
      </c>
      <c r="Y10" s="80">
        <f t="shared" si="5"/>
        <v>0</v>
      </c>
      <c r="Z10" s="70">
        <f t="shared" si="0"/>
        <v>22228.994292193333</v>
      </c>
    </row>
    <row r="11" spans="1:26" ht="14.25" customHeight="1">
      <c r="A11" s="10"/>
      <c r="B11" s="43"/>
      <c r="C11" s="43"/>
      <c r="D11" s="44"/>
      <c r="E11" s="45"/>
      <c r="F11" s="43"/>
      <c r="G11" s="43"/>
      <c r="H11" s="43"/>
      <c r="I11" s="43"/>
      <c r="M11" s="30">
        <v>5</v>
      </c>
      <c r="N11" s="34">
        <f t="shared" si="1"/>
        <v>143150.52126447103</v>
      </c>
      <c r="O11" s="35">
        <f t="shared" si="2"/>
        <v>6.9661315975800372E-2</v>
      </c>
      <c r="P11" s="36">
        <f>'All Cash'!$D$38</f>
        <v>410990.00000000012</v>
      </c>
      <c r="Q11" s="37">
        <f>'All Cash'!$H$31</f>
        <v>3.5000000000000003E-2</v>
      </c>
      <c r="R11" s="38">
        <f>'All Cash'!$D$24</f>
        <v>405990</v>
      </c>
      <c r="S11" s="38">
        <v>0</v>
      </c>
      <c r="T11" s="39">
        <f t="shared" si="3"/>
        <v>76198.763229574601</v>
      </c>
      <c r="U11" s="39">
        <v>0</v>
      </c>
      <c r="V11" s="39">
        <f>(R11+T11)*'All Cash'!$H$35</f>
        <v>33753.213426070222</v>
      </c>
      <c r="W11" s="36">
        <f>'All Cash'!$I$27*'All Cash'!$M11</f>
        <v>100704.97146096666</v>
      </c>
      <c r="X11" s="34">
        <f t="shared" si="4"/>
        <v>22228.994292193333</v>
      </c>
      <c r="Y11" s="80">
        <f t="shared" si="5"/>
        <v>0</v>
      </c>
      <c r="Z11" s="70">
        <f t="shared" si="0"/>
        <v>22228.994292193333</v>
      </c>
    </row>
    <row r="12" spans="1:26" ht="14.25" customHeight="1">
      <c r="A12" s="10"/>
      <c r="B12" s="43"/>
      <c r="C12" s="43"/>
      <c r="D12" s="44"/>
      <c r="E12" s="45"/>
      <c r="F12" s="43"/>
      <c r="G12" s="43"/>
      <c r="H12" s="43"/>
      <c r="I12" s="43"/>
      <c r="M12" s="30">
        <v>6</v>
      </c>
      <c r="N12" s="34">
        <f t="shared" si="1"/>
        <v>178986.75979978708</v>
      </c>
      <c r="O12" s="35">
        <f t="shared" si="2"/>
        <v>7.2583582649937556E-2</v>
      </c>
      <c r="P12" s="36">
        <f>'All Cash'!$D$38</f>
        <v>410990.00000000012</v>
      </c>
      <c r="Q12" s="37">
        <f>'All Cash'!$H$31</f>
        <v>3.5000000000000003E-2</v>
      </c>
      <c r="R12" s="38">
        <f>'All Cash'!$D$24</f>
        <v>405990</v>
      </c>
      <c r="S12" s="38">
        <v>0</v>
      </c>
      <c r="T12" s="39">
        <f t="shared" si="3"/>
        <v>93075.369942609745</v>
      </c>
      <c r="U12" s="39">
        <v>0</v>
      </c>
      <c r="V12" s="39">
        <f>(R12+T12)*'All Cash'!$H$35</f>
        <v>34934.575895982685</v>
      </c>
      <c r="W12" s="36">
        <f>'All Cash'!$I$27*'All Cash'!$M12</f>
        <v>120845.96575316</v>
      </c>
      <c r="X12" s="34">
        <f t="shared" si="4"/>
        <v>22228.994292193333</v>
      </c>
      <c r="Y12" s="80">
        <f t="shared" si="5"/>
        <v>0</v>
      </c>
      <c r="Z12" s="70">
        <f t="shared" si="0"/>
        <v>22228.994292193333</v>
      </c>
    </row>
    <row r="13" spans="1:26" ht="14.25" customHeight="1">
      <c r="A13" s="10"/>
      <c r="B13" s="43"/>
      <c r="C13" s="43"/>
      <c r="D13" s="44"/>
      <c r="E13" s="45"/>
      <c r="F13" s="43"/>
      <c r="G13" s="43"/>
      <c r="H13" s="43"/>
      <c r="I13" s="43"/>
      <c r="M13" s="30">
        <v>7</v>
      </c>
      <c r="N13" s="34">
        <f t="shared" si="1"/>
        <v>215372.33188361229</v>
      </c>
      <c r="O13" s="35">
        <f t="shared" si="2"/>
        <v>7.4861860345441927E-2</v>
      </c>
      <c r="P13" s="36">
        <f>'All Cash'!$D$38</f>
        <v>410990.00000000012</v>
      </c>
      <c r="Q13" s="37">
        <f>'All Cash'!$H$31</f>
        <v>3.5000000000000003E-2</v>
      </c>
      <c r="R13" s="38">
        <f>'All Cash'!$D$24</f>
        <v>405990</v>
      </c>
      <c r="S13" s="38">
        <v>0</v>
      </c>
      <c r="T13" s="39">
        <f t="shared" si="3"/>
        <v>110542.65789060103</v>
      </c>
      <c r="U13" s="39">
        <v>0</v>
      </c>
      <c r="V13" s="39">
        <f>(R13+T13)*'All Cash'!$H$35</f>
        <v>36157.286052342075</v>
      </c>
      <c r="W13" s="36">
        <f>'All Cash'!$I$27*'All Cash'!$M13</f>
        <v>140986.96004535333</v>
      </c>
      <c r="X13" s="34">
        <f t="shared" si="4"/>
        <v>22228.994292193333</v>
      </c>
      <c r="Y13" s="80">
        <f t="shared" si="5"/>
        <v>0</v>
      </c>
      <c r="Z13" s="70">
        <f t="shared" si="0"/>
        <v>22228.994292193333</v>
      </c>
    </row>
    <row r="14" spans="1:26" ht="14.25" customHeight="1">
      <c r="A14" s="10"/>
      <c r="B14" s="43"/>
      <c r="C14" s="43"/>
      <c r="D14" s="44"/>
      <c r="E14" s="45"/>
      <c r="F14" s="43"/>
      <c r="G14" s="43"/>
      <c r="H14" s="43"/>
      <c r="I14" s="43"/>
      <c r="M14" s="30">
        <v>8</v>
      </c>
      <c r="N14" s="34">
        <f t="shared" si="1"/>
        <v>252326.46419014462</v>
      </c>
      <c r="O14" s="35">
        <f t="shared" si="2"/>
        <v>7.6743492600228877E-2</v>
      </c>
      <c r="P14" s="36">
        <f>'All Cash'!$D$38</f>
        <v>410990.00000000012</v>
      </c>
      <c r="Q14" s="37">
        <f>'All Cash'!$H$31</f>
        <v>3.5000000000000003E-2</v>
      </c>
      <c r="R14" s="38">
        <f>'All Cash'!$D$24</f>
        <v>405990</v>
      </c>
      <c r="S14" s="38">
        <v>0</v>
      </c>
      <c r="T14" s="39">
        <f t="shared" si="3"/>
        <v>128621.30091677199</v>
      </c>
      <c r="U14" s="39">
        <v>0</v>
      </c>
      <c r="V14" s="39">
        <f>(R14+T14)*'All Cash'!$H$35</f>
        <v>37422.791064174045</v>
      </c>
      <c r="W14" s="36">
        <f>'All Cash'!$I$27*'All Cash'!$M14</f>
        <v>161127.95433754666</v>
      </c>
      <c r="X14" s="34">
        <f t="shared" si="4"/>
        <v>22228.994292193333</v>
      </c>
      <c r="Y14" s="80">
        <f t="shared" si="5"/>
        <v>0</v>
      </c>
      <c r="Z14" s="70">
        <f t="shared" si="0"/>
        <v>22228.994292193333</v>
      </c>
    </row>
    <row r="15" spans="1:26" ht="14.25" customHeight="1">
      <c r="A15" s="10"/>
      <c r="B15" s="43"/>
      <c r="C15" s="43"/>
      <c r="D15" s="44"/>
      <c r="E15" s="45"/>
      <c r="F15" s="43"/>
      <c r="G15" s="43"/>
      <c r="H15" s="43"/>
      <c r="I15" s="43"/>
      <c r="M15" s="30">
        <v>9</v>
      </c>
      <c r="N15" s="34">
        <f t="shared" si="1"/>
        <v>289869.05632717867</v>
      </c>
      <c r="O15" s="35">
        <f t="shared" si="2"/>
        <v>7.8366074418458026E-2</v>
      </c>
      <c r="P15" s="36">
        <f>'All Cash'!$D$38</f>
        <v>410990.00000000012</v>
      </c>
      <c r="Q15" s="37">
        <f>'All Cash'!$H$31</f>
        <v>3.5000000000000003E-2</v>
      </c>
      <c r="R15" s="38">
        <f>'All Cash'!$D$24</f>
        <v>405990</v>
      </c>
      <c r="S15" s="38">
        <v>0</v>
      </c>
      <c r="T15" s="39">
        <f t="shared" si="3"/>
        <v>147332.69644885883</v>
      </c>
      <c r="U15" s="39">
        <v>0</v>
      </c>
      <c r="V15" s="39">
        <f>(R15+T15)*'All Cash'!$H$35</f>
        <v>38732.588751420124</v>
      </c>
      <c r="W15" s="36">
        <f>'All Cash'!$I$27*'All Cash'!$M15</f>
        <v>181268.94862973999</v>
      </c>
      <c r="X15" s="34">
        <f t="shared" si="4"/>
        <v>22228.994292193333</v>
      </c>
      <c r="Y15" s="80">
        <f t="shared" si="5"/>
        <v>0</v>
      </c>
      <c r="Z15" s="70">
        <f t="shared" si="0"/>
        <v>22228.994292193333</v>
      </c>
    </row>
    <row r="16" spans="1:26" ht="14.25" customHeight="1">
      <c r="A16" s="10"/>
      <c r="B16" s="43"/>
      <c r="C16" s="43"/>
      <c r="D16" s="44"/>
      <c r="E16" s="45"/>
      <c r="F16" s="43"/>
      <c r="G16" s="43"/>
      <c r="H16" s="43"/>
      <c r="I16" s="43"/>
      <c r="M16" s="30">
        <v>10</v>
      </c>
      <c r="N16" s="34">
        <f t="shared" si="1"/>
        <v>328020.70438878238</v>
      </c>
      <c r="O16" s="35">
        <f t="shared" si="2"/>
        <v>7.9812332268128741E-2</v>
      </c>
      <c r="P16" s="36">
        <f>'All Cash'!$D$38</f>
        <v>410990.00000000012</v>
      </c>
      <c r="Q16" s="37">
        <f>'All Cash'!$H$31</f>
        <v>3.5000000000000003E-2</v>
      </c>
      <c r="R16" s="38">
        <f>'All Cash'!$D$24</f>
        <v>405990</v>
      </c>
      <c r="S16" s="38">
        <v>0</v>
      </c>
      <c r="T16" s="39">
        <f t="shared" si="3"/>
        <v>166698.9908245689</v>
      </c>
      <c r="U16" s="39">
        <v>0</v>
      </c>
      <c r="V16" s="39">
        <f>(R16+T16)*'All Cash'!$H$35</f>
        <v>40088.229357719829</v>
      </c>
      <c r="W16" s="36">
        <f>'All Cash'!$I$27*'All Cash'!$M16</f>
        <v>201409.94292193331</v>
      </c>
      <c r="X16" s="34">
        <f t="shared" si="4"/>
        <v>22228.994292193333</v>
      </c>
      <c r="Y16" s="80">
        <f t="shared" si="5"/>
        <v>0</v>
      </c>
      <c r="Z16" s="70">
        <f t="shared" si="0"/>
        <v>22228.994292193333</v>
      </c>
    </row>
    <row r="17" spans="1:26" ht="14.25" customHeight="1">
      <c r="A17" s="10"/>
      <c r="B17" s="43"/>
      <c r="C17" s="43"/>
      <c r="D17" s="44"/>
      <c r="E17" s="45"/>
      <c r="F17" s="43"/>
      <c r="G17" s="43"/>
      <c r="H17" s="43"/>
      <c r="I17" s="43"/>
      <c r="M17" s="30">
        <v>11</v>
      </c>
      <c r="N17" s="34">
        <f t="shared" si="1"/>
        <v>366802.72533231555</v>
      </c>
      <c r="O17" s="35">
        <f t="shared" si="2"/>
        <v>8.1135069716873329E-2</v>
      </c>
      <c r="P17" s="36">
        <f>'All Cash'!$D$38</f>
        <v>410990.00000000012</v>
      </c>
      <c r="Q17" s="37">
        <f>'All Cash'!$H$31</f>
        <v>3.5000000000000003E-2</v>
      </c>
      <c r="R17" s="38">
        <f>'All Cash'!$D$24</f>
        <v>405990</v>
      </c>
      <c r="S17" s="38">
        <v>0</v>
      </c>
      <c r="T17" s="39">
        <f t="shared" si="3"/>
        <v>186743.10550342884</v>
      </c>
      <c r="U17" s="39">
        <v>0</v>
      </c>
      <c r="V17" s="39">
        <f>(R17+T17)*'All Cash'!$H$35</f>
        <v>41491.317385240021</v>
      </c>
      <c r="W17" s="36">
        <f>'All Cash'!$I$27*'All Cash'!$M17</f>
        <v>221550.93721412666</v>
      </c>
      <c r="X17" s="34">
        <f t="shared" si="4"/>
        <v>22228.994292193333</v>
      </c>
      <c r="Y17" s="80">
        <f t="shared" si="5"/>
        <v>0</v>
      </c>
      <c r="Z17" s="70">
        <f t="shared" si="0"/>
        <v>22228.994292193333</v>
      </c>
    </row>
    <row r="18" spans="1:26" ht="14.25" customHeight="1">
      <c r="A18" s="10"/>
      <c r="B18" s="43"/>
      <c r="C18" s="43"/>
      <c r="D18" s="44"/>
      <c r="E18" s="45"/>
      <c r="F18" s="43"/>
      <c r="G18" s="43"/>
      <c r="H18" s="43"/>
      <c r="I18" s="43"/>
      <c r="M18" s="30">
        <v>12</v>
      </c>
      <c r="N18" s="34">
        <f t="shared" si="1"/>
        <v>406237.18220864545</v>
      </c>
      <c r="O18" s="35">
        <f t="shared" si="2"/>
        <v>8.2369640422849971E-2</v>
      </c>
      <c r="P18" s="36">
        <f>'All Cash'!$D$38</f>
        <v>410990.00000000012</v>
      </c>
      <c r="Q18" s="37">
        <f>'All Cash'!$H$31</f>
        <v>3.5000000000000003E-2</v>
      </c>
      <c r="R18" s="38">
        <f>'All Cash'!$D$24</f>
        <v>405990</v>
      </c>
      <c r="S18" s="38">
        <v>0</v>
      </c>
      <c r="T18" s="39">
        <f t="shared" si="3"/>
        <v>207488.76419604884</v>
      </c>
      <c r="U18" s="39">
        <v>0</v>
      </c>
      <c r="V18" s="39">
        <f>(R18+T18)*'All Cash'!$H$35</f>
        <v>42943.513493723425</v>
      </c>
      <c r="W18" s="36">
        <f>'All Cash'!$I$27*'All Cash'!$M18</f>
        <v>241691.93150631999</v>
      </c>
      <c r="X18" s="34">
        <f t="shared" si="4"/>
        <v>22228.994292193333</v>
      </c>
      <c r="Y18" s="80">
        <f t="shared" si="5"/>
        <v>0</v>
      </c>
      <c r="Z18" s="70">
        <f t="shared" si="0"/>
        <v>22228.994292193333</v>
      </c>
    </row>
    <row r="19" spans="1:26" ht="14.25" customHeight="1">
      <c r="A19" s="10"/>
      <c r="B19" s="43"/>
      <c r="C19" s="43"/>
      <c r="D19" s="44"/>
      <c r="E19" s="45"/>
      <c r="F19" s="43"/>
      <c r="G19" s="43"/>
      <c r="H19" s="43"/>
      <c r="I19" s="43"/>
      <c r="M19" s="30">
        <v>13</v>
      </c>
      <c r="N19" s="34">
        <f t="shared" si="1"/>
        <v>446346.91027541994</v>
      </c>
      <c r="O19" s="35">
        <f t="shared" si="2"/>
        <v>8.3540664525885877E-2</v>
      </c>
      <c r="P19" s="36">
        <f>'All Cash'!$D$38</f>
        <v>410990.00000000012</v>
      </c>
      <c r="Q19" s="37">
        <f>'All Cash'!$H$31</f>
        <v>3.5000000000000003E-2</v>
      </c>
      <c r="R19" s="38">
        <f>'All Cash'!$D$24</f>
        <v>405990</v>
      </c>
      <c r="S19" s="38">
        <v>0</v>
      </c>
      <c r="T19" s="39">
        <f t="shared" si="3"/>
        <v>228960.52094291034</v>
      </c>
      <c r="U19" s="39">
        <v>0</v>
      </c>
      <c r="V19" s="39">
        <f>(R19+T19)*'All Cash'!$H$35</f>
        <v>44446.53646600373</v>
      </c>
      <c r="W19" s="36">
        <f>'All Cash'!$I$27*'All Cash'!$M19</f>
        <v>261832.92579851332</v>
      </c>
      <c r="X19" s="34">
        <f t="shared" si="4"/>
        <v>22228.994292193333</v>
      </c>
      <c r="Y19" s="80">
        <f t="shared" si="5"/>
        <v>0</v>
      </c>
      <c r="Z19" s="70">
        <f t="shared" si="0"/>
        <v>22228.994292193333</v>
      </c>
    </row>
    <row r="20" spans="1:26" ht="14.25" customHeight="1">
      <c r="A20" s="10"/>
      <c r="B20" s="43"/>
      <c r="C20" s="43"/>
      <c r="D20" s="44"/>
      <c r="E20" s="45"/>
      <c r="F20" s="43"/>
      <c r="G20" s="43"/>
      <c r="H20" s="43"/>
      <c r="I20" s="43"/>
      <c r="M20" s="30">
        <v>14</v>
      </c>
      <c r="N20" s="34">
        <f t="shared" si="1"/>
        <v>487155.54402430519</v>
      </c>
      <c r="O20" s="35">
        <f t="shared" si="2"/>
        <v>8.466586674411701E-2</v>
      </c>
      <c r="P20" s="36">
        <f>'All Cash'!$D$38</f>
        <v>410990.00000000012</v>
      </c>
      <c r="Q20" s="37">
        <f>'All Cash'!$H$31</f>
        <v>3.5000000000000003E-2</v>
      </c>
      <c r="R20" s="38">
        <f>'All Cash'!$D$24</f>
        <v>405990</v>
      </c>
      <c r="S20" s="38">
        <v>0</v>
      </c>
      <c r="T20" s="39">
        <f t="shared" si="3"/>
        <v>251183.78917591239</v>
      </c>
      <c r="U20" s="39">
        <v>0</v>
      </c>
      <c r="V20" s="39">
        <f>(R20+T20)*'All Cash'!$H$35</f>
        <v>46002.165242313873</v>
      </c>
      <c r="W20" s="36">
        <f>'All Cash'!$I$27*'All Cash'!$M20</f>
        <v>281973.92009070667</v>
      </c>
      <c r="X20" s="34">
        <f t="shared" si="4"/>
        <v>22228.994292193333</v>
      </c>
      <c r="Y20" s="80">
        <f t="shared" si="5"/>
        <v>0</v>
      </c>
      <c r="Z20" s="70">
        <f t="shared" si="0"/>
        <v>22228.994292193333</v>
      </c>
    </row>
    <row r="21" spans="1:26" ht="14.25" customHeight="1">
      <c r="A21" s="10"/>
      <c r="B21" s="43"/>
      <c r="C21" s="43"/>
      <c r="D21" s="44"/>
      <c r="E21" s="45"/>
      <c r="F21" s="43"/>
      <c r="G21" s="43"/>
      <c r="H21" s="43"/>
      <c r="I21" s="43"/>
      <c r="M21" s="40">
        <v>15</v>
      </c>
      <c r="N21" s="34">
        <f t="shared" si="1"/>
        <v>528687.54515417432</v>
      </c>
      <c r="O21" s="35">
        <f t="shared" si="2"/>
        <v>8.5758379385414765E-2</v>
      </c>
      <c r="P21" s="36">
        <f>'All Cash'!$D$38</f>
        <v>410990.00000000012</v>
      </c>
      <c r="Q21" s="37">
        <f>'All Cash'!$H$31</f>
        <v>3.5000000000000003E-2</v>
      </c>
      <c r="R21" s="38">
        <f>'All Cash'!$D$24</f>
        <v>405990</v>
      </c>
      <c r="S21" s="38">
        <v>0</v>
      </c>
      <c r="T21" s="41">
        <f t="shared" si="3"/>
        <v>274184.87179706921</v>
      </c>
      <c r="U21" s="39">
        <v>0</v>
      </c>
      <c r="V21" s="39">
        <f>(R21+T21)*'All Cash'!$H$35</f>
        <v>47612.24102579485</v>
      </c>
      <c r="W21" s="36">
        <f>'All Cash'!$I$27*'All Cash'!$M21</f>
        <v>302114.91438289999</v>
      </c>
      <c r="X21" s="34">
        <f t="shared" si="4"/>
        <v>22228.994292193333</v>
      </c>
      <c r="Y21" s="80">
        <f t="shared" si="5"/>
        <v>632562.63077127433</v>
      </c>
      <c r="Z21" s="70">
        <f t="shared" si="0"/>
        <v>654791.62506346765</v>
      </c>
    </row>
    <row r="22" spans="1:26" ht="14.25" customHeight="1">
      <c r="A22" s="10"/>
      <c r="B22" s="43"/>
      <c r="C22" s="43"/>
      <c r="D22" s="44"/>
      <c r="E22" s="45"/>
      <c r="F22" s="43"/>
      <c r="G22" s="43"/>
      <c r="H22" s="43"/>
      <c r="I22" s="43"/>
      <c r="M22" s="30">
        <v>16</v>
      </c>
      <c r="N22" s="34">
        <f t="shared" si="1"/>
        <v>570968.2315233621</v>
      </c>
      <c r="O22" s="35">
        <f t="shared" si="2"/>
        <v>8.682818187841583E-2</v>
      </c>
      <c r="P22" s="36">
        <f>'All Cash'!$D$38</f>
        <v>410990.00000000012</v>
      </c>
      <c r="Q22" s="37">
        <f>'All Cash'!$H$31</f>
        <v>3.5000000000000003E-2</v>
      </c>
      <c r="R22" s="38">
        <f>'All Cash'!$D$24</f>
        <v>405990</v>
      </c>
      <c r="S22" s="38">
        <v>0</v>
      </c>
      <c r="T22" s="39">
        <f t="shared" si="3"/>
        <v>297990.99230996647</v>
      </c>
      <c r="U22" s="39">
        <v>0</v>
      </c>
      <c r="V22" s="39">
        <f>(R22+T22)*'All Cash'!$H$35</f>
        <v>49278.66946169766</v>
      </c>
      <c r="W22" s="36">
        <f>'All Cash'!$I$27*'All Cash'!$M22</f>
        <v>322255.90867509332</v>
      </c>
      <c r="X22" s="34">
        <f t="shared" si="4"/>
        <v>22228.994292193333</v>
      </c>
      <c r="Y22" s="80">
        <f t="shared" si="5"/>
        <v>0</v>
      </c>
      <c r="Z22" s="70">
        <f t="shared" si="0"/>
        <v>0</v>
      </c>
    </row>
    <row r="23" spans="1:26" ht="17.25">
      <c r="A23" s="10"/>
      <c r="B23" s="46" t="s">
        <v>13</v>
      </c>
      <c r="C23" s="46"/>
      <c r="D23" s="47"/>
      <c r="E23" s="48"/>
      <c r="F23" s="49"/>
      <c r="G23" s="46" t="s">
        <v>47</v>
      </c>
      <c r="H23" s="48" t="s">
        <v>50</v>
      </c>
      <c r="I23" s="48" t="s">
        <v>51</v>
      </c>
      <c r="M23" s="30">
        <v>17</v>
      </c>
      <c r="N23" s="34">
        <f t="shared" si="1"/>
        <v>614023.8071152448</v>
      </c>
      <c r="O23" s="35">
        <f t="shared" si="2"/>
        <v>8.7883032378810511E-2</v>
      </c>
      <c r="P23" s="36">
        <f>'All Cash'!$D$38</f>
        <v>410990.00000000012</v>
      </c>
      <c r="Q23" s="37">
        <f>'All Cash'!$H$31</f>
        <v>3.5000000000000003E-2</v>
      </c>
      <c r="R23" s="38">
        <f>'All Cash'!$D$24</f>
        <v>405990</v>
      </c>
      <c r="S23" s="38">
        <v>0</v>
      </c>
      <c r="T23" s="39">
        <f t="shared" si="3"/>
        <v>322630.32704081526</v>
      </c>
      <c r="U23" s="39">
        <v>0</v>
      </c>
      <c r="V23" s="39">
        <f>(R23+T23)*'All Cash'!$H$35</f>
        <v>51003.422892857074</v>
      </c>
      <c r="W23" s="36">
        <f>'All Cash'!$I$27*'All Cash'!$M23</f>
        <v>342396.90296728665</v>
      </c>
      <c r="X23" s="34">
        <f t="shared" si="4"/>
        <v>22228.994292193333</v>
      </c>
      <c r="Y23" s="80">
        <f t="shared" si="5"/>
        <v>0</v>
      </c>
      <c r="Z23" s="70">
        <f t="shared" si="0"/>
        <v>0</v>
      </c>
    </row>
    <row r="24" spans="1:26">
      <c r="A24" s="10"/>
      <c r="B24" s="56" t="s">
        <v>32</v>
      </c>
      <c r="C24" s="56"/>
      <c r="D24" s="61">
        <f>D34</f>
        <v>405990</v>
      </c>
      <c r="E24" s="45"/>
      <c r="F24" s="43"/>
      <c r="G24" s="44" t="s">
        <v>52</v>
      </c>
      <c r="H24" s="50">
        <f>Summary!C11</f>
        <v>1450</v>
      </c>
      <c r="I24" s="53">
        <f>H24*12</f>
        <v>17400</v>
      </c>
      <c r="M24" s="30">
        <v>18</v>
      </c>
      <c r="N24" s="34">
        <f t="shared" si="1"/>
        <v>657881.39305261662</v>
      </c>
      <c r="O24" s="35">
        <f t="shared" si="2"/>
        <v>8.892908898197259E-2</v>
      </c>
      <c r="P24" s="36">
        <f>'All Cash'!$D$38</f>
        <v>410990.00000000012</v>
      </c>
      <c r="Q24" s="37">
        <f>'All Cash'!$H$31</f>
        <v>3.5000000000000003E-2</v>
      </c>
      <c r="R24" s="38">
        <f>'All Cash'!$D$24</f>
        <v>405990</v>
      </c>
      <c r="S24" s="38">
        <v>0</v>
      </c>
      <c r="T24" s="39">
        <f t="shared" si="3"/>
        <v>348132.0384872437</v>
      </c>
      <c r="U24" s="39">
        <v>0</v>
      </c>
      <c r="V24" s="39">
        <f>(R24+T24)*'All Cash'!$H$35</f>
        <v>52788.542694107062</v>
      </c>
      <c r="W24" s="36">
        <f>'All Cash'!$I$27*'All Cash'!$M24</f>
        <v>362537.89725947997</v>
      </c>
      <c r="X24" s="34">
        <f t="shared" si="4"/>
        <v>22228.994292193333</v>
      </c>
      <c r="Y24" s="80">
        <f t="shared" si="5"/>
        <v>0</v>
      </c>
      <c r="Z24" s="70">
        <f t="shared" si="0"/>
        <v>0</v>
      </c>
    </row>
    <row r="25" spans="1:26">
      <c r="A25" s="10"/>
      <c r="B25" s="56" t="s">
        <v>15</v>
      </c>
      <c r="C25" s="56"/>
      <c r="D25" s="61">
        <f>I25</f>
        <v>34800</v>
      </c>
      <c r="E25" s="45"/>
      <c r="F25" s="43"/>
      <c r="G25" s="44" t="s">
        <v>53</v>
      </c>
      <c r="H25" s="50">
        <f>H24*2</f>
        <v>2900</v>
      </c>
      <c r="I25" s="53">
        <f t="shared" ref="I25" si="6">H25*12</f>
        <v>34800</v>
      </c>
      <c r="M25" s="30">
        <v>19</v>
      </c>
      <c r="N25" s="34">
        <f t="shared" si="1"/>
        <v>702569.0596975697</v>
      </c>
      <c r="O25" s="35">
        <f t="shared" si="2"/>
        <v>8.9971334902189892E-2</v>
      </c>
      <c r="P25" s="36">
        <f>'All Cash'!$D$38</f>
        <v>410990.00000000012</v>
      </c>
      <c r="Q25" s="37">
        <f>'All Cash'!$H$31</f>
        <v>3.5000000000000003E-2</v>
      </c>
      <c r="R25" s="38">
        <f>'All Cash'!$D$24</f>
        <v>405990</v>
      </c>
      <c r="S25" s="38">
        <v>0</v>
      </c>
      <c r="T25" s="39">
        <f t="shared" si="3"/>
        <v>374526.30983429716</v>
      </c>
      <c r="U25" s="39">
        <v>0</v>
      </c>
      <c r="V25" s="39">
        <f>(R25+T25)*'All Cash'!$H$35</f>
        <v>54636.141688400807</v>
      </c>
      <c r="W25" s="36">
        <f>'All Cash'!$I$27*'All Cash'!$M25</f>
        <v>382678.8915516733</v>
      </c>
      <c r="X25" s="34">
        <f t="shared" si="4"/>
        <v>22228.994292193333</v>
      </c>
      <c r="Y25" s="80">
        <f t="shared" si="5"/>
        <v>0</v>
      </c>
      <c r="Z25" s="70">
        <f t="shared" si="0"/>
        <v>0</v>
      </c>
    </row>
    <row r="26" spans="1:26">
      <c r="A26" s="10"/>
      <c r="B26" s="56" t="s">
        <v>42</v>
      </c>
      <c r="C26" s="56"/>
      <c r="D26" s="61">
        <f>D38</f>
        <v>410990.00000000012</v>
      </c>
      <c r="E26" s="45"/>
      <c r="F26" s="43"/>
      <c r="G26" s="44" t="s">
        <v>54</v>
      </c>
      <c r="H26" s="50">
        <f>D47</f>
        <v>1221.583808983889</v>
      </c>
      <c r="I26" s="50">
        <f>E47</f>
        <v>14659.005707806666</v>
      </c>
      <c r="M26" s="30">
        <v>20</v>
      </c>
      <c r="N26" s="34">
        <f t="shared" si="1"/>
        <v>748115.85987486923</v>
      </c>
      <c r="O26" s="35">
        <f t="shared" si="2"/>
        <v>9.1013876234807306E-2</v>
      </c>
      <c r="P26" s="36">
        <f>'All Cash'!$D$38</f>
        <v>410990.00000000012</v>
      </c>
      <c r="Q26" s="37">
        <f>'All Cash'!$H$31</f>
        <v>3.5000000000000003E-2</v>
      </c>
      <c r="R26" s="38">
        <f>'All Cash'!$D$24</f>
        <v>405990</v>
      </c>
      <c r="S26" s="38">
        <v>0</v>
      </c>
      <c r="T26" s="39">
        <f t="shared" si="3"/>
        <v>401844.38067849749</v>
      </c>
      <c r="U26" s="39">
        <v>0</v>
      </c>
      <c r="V26" s="39">
        <f>(R26+T26)*'All Cash'!$H$35</f>
        <v>56548.406647494827</v>
      </c>
      <c r="W26" s="36">
        <f>'All Cash'!$I$27*'All Cash'!$M26</f>
        <v>402819.88584386662</v>
      </c>
      <c r="X26" s="34">
        <f t="shared" si="4"/>
        <v>22228.994292193333</v>
      </c>
      <c r="Y26" s="80">
        <f t="shared" si="5"/>
        <v>0</v>
      </c>
      <c r="Z26" s="70">
        <f t="shared" si="0"/>
        <v>0</v>
      </c>
    </row>
    <row r="27" spans="1:26">
      <c r="A27" s="10"/>
      <c r="B27" s="56" t="s">
        <v>55</v>
      </c>
      <c r="C27" s="56"/>
      <c r="D27" s="61">
        <f>H27</f>
        <v>1678.416191016111</v>
      </c>
      <c r="E27" s="45"/>
      <c r="F27" s="43"/>
      <c r="G27" s="56" t="s">
        <v>56</v>
      </c>
      <c r="H27" s="58">
        <f>H25-H26</f>
        <v>1678.416191016111</v>
      </c>
      <c r="I27" s="59">
        <f>H27*12</f>
        <v>20140.994292193333</v>
      </c>
      <c r="M27" s="30">
        <v>21</v>
      </c>
      <c r="N27" s="34">
        <f t="shared" si="1"/>
        <v>794551.86325814773</v>
      </c>
      <c r="O27" s="35">
        <f t="shared" si="2"/>
        <v>9.2060154778200787E-2</v>
      </c>
      <c r="P27" s="36">
        <f>'All Cash'!$D$38</f>
        <v>410990.00000000012</v>
      </c>
      <c r="Q27" s="37">
        <f>'All Cash'!$H$31</f>
        <v>3.5000000000000003E-2</v>
      </c>
      <c r="R27" s="38">
        <f>'All Cash'!$D$24</f>
        <v>405990</v>
      </c>
      <c r="S27" s="38">
        <v>0</v>
      </c>
      <c r="T27" s="39">
        <f t="shared" si="3"/>
        <v>430118.58400224475</v>
      </c>
      <c r="U27" s="39">
        <v>0</v>
      </c>
      <c r="V27" s="39">
        <f>(R27+T27)*'All Cash'!$H$35</f>
        <v>58527.600880157137</v>
      </c>
      <c r="W27" s="36">
        <f>'All Cash'!$I$27*'All Cash'!$M27</f>
        <v>422960.88013606</v>
      </c>
      <c r="X27" s="34">
        <f t="shared" si="4"/>
        <v>22228.994292193333</v>
      </c>
      <c r="Y27" s="80">
        <f t="shared" si="5"/>
        <v>0</v>
      </c>
      <c r="Z27" s="70">
        <f t="shared" si="0"/>
        <v>0</v>
      </c>
    </row>
    <row r="28" spans="1:26">
      <c r="A28" s="10"/>
      <c r="B28" s="56" t="s">
        <v>57</v>
      </c>
      <c r="C28" s="56"/>
      <c r="D28" s="61">
        <f>H28</f>
        <v>1852.416191016111</v>
      </c>
      <c r="E28" s="45"/>
      <c r="F28" s="43"/>
      <c r="G28" s="56" t="s">
        <v>58</v>
      </c>
      <c r="H28" s="58">
        <f>H25-H26+D45+D46</f>
        <v>1852.416191016111</v>
      </c>
      <c r="I28" s="59">
        <f>H28*12</f>
        <v>22228.994292193333</v>
      </c>
      <c r="M28" s="30">
        <v>22</v>
      </c>
      <c r="N28" s="34">
        <f t="shared" si="1"/>
        <v>841908.19195961405</v>
      </c>
      <c r="O28" s="35">
        <f t="shared" si="2"/>
        <v>9.3113102946501006E-2</v>
      </c>
      <c r="P28" s="36">
        <f>'All Cash'!$D$38</f>
        <v>410990.00000000012</v>
      </c>
      <c r="Q28" s="37">
        <f>'All Cash'!$H$31</f>
        <v>3.5000000000000003E-2</v>
      </c>
      <c r="R28" s="38">
        <f>'All Cash'!$D$24</f>
        <v>405990</v>
      </c>
      <c r="S28" s="38">
        <v>0</v>
      </c>
      <c r="T28" s="39">
        <f t="shared" si="3"/>
        <v>459382.38444232335</v>
      </c>
      <c r="U28" s="39">
        <v>0</v>
      </c>
      <c r="V28" s="39">
        <f>(R28+T28)*'All Cash'!$H$35</f>
        <v>60576.06691096264</v>
      </c>
      <c r="W28" s="36">
        <f>'All Cash'!$I$27*'All Cash'!$M28</f>
        <v>443101.87442825333</v>
      </c>
      <c r="X28" s="34">
        <f t="shared" si="4"/>
        <v>22228.994292193333</v>
      </c>
      <c r="Y28" s="80">
        <f t="shared" si="5"/>
        <v>0</v>
      </c>
      <c r="Z28" s="70">
        <f t="shared" si="0"/>
        <v>0</v>
      </c>
    </row>
    <row r="29" spans="1:26">
      <c r="A29" s="10"/>
      <c r="B29" s="56" t="s">
        <v>40</v>
      </c>
      <c r="C29" s="56"/>
      <c r="D29" s="61">
        <f>H38</f>
        <v>528687.54515417432</v>
      </c>
      <c r="E29" s="45"/>
      <c r="F29" s="43"/>
      <c r="G29" s="10"/>
      <c r="H29" s="10"/>
      <c r="I29" s="10"/>
      <c r="M29" s="30">
        <v>23</v>
      </c>
      <c r="N29" s="34">
        <f t="shared" si="1"/>
        <v>890217.05736540502</v>
      </c>
      <c r="O29" s="35">
        <f t="shared" si="2"/>
        <v>9.4175258402077355E-2</v>
      </c>
      <c r="P29" s="36">
        <f>'All Cash'!$D$38</f>
        <v>410990.00000000012</v>
      </c>
      <c r="Q29" s="37">
        <f>'All Cash'!$H$31</f>
        <v>3.5000000000000003E-2</v>
      </c>
      <c r="R29" s="38">
        <f>'All Cash'!$D$24</f>
        <v>405990</v>
      </c>
      <c r="S29" s="38">
        <v>0</v>
      </c>
      <c r="T29" s="39">
        <f t="shared" si="3"/>
        <v>489670.41789780464</v>
      </c>
      <c r="U29" s="39">
        <v>0</v>
      </c>
      <c r="V29" s="39">
        <f>(R29+T29)*'All Cash'!$H$35</f>
        <v>62696.229252846329</v>
      </c>
      <c r="W29" s="36">
        <f>'All Cash'!$I$27*'All Cash'!$M29</f>
        <v>463242.86872044666</v>
      </c>
      <c r="X29" s="34">
        <f t="shared" si="4"/>
        <v>22228.994292193333</v>
      </c>
      <c r="Y29" s="80">
        <f t="shared" si="5"/>
        <v>0</v>
      </c>
      <c r="Z29" s="70">
        <f t="shared" si="0"/>
        <v>0</v>
      </c>
    </row>
    <row r="30" spans="1:26" ht="17.25">
      <c r="A30" s="10"/>
      <c r="B30" s="56" t="s">
        <v>59</v>
      </c>
      <c r="C30" s="56"/>
      <c r="D30" s="57">
        <f>H42</f>
        <v>8.5758379385414765E-2</v>
      </c>
      <c r="E30" s="45"/>
      <c r="F30" s="43"/>
      <c r="G30" s="46" t="s">
        <v>41</v>
      </c>
      <c r="H30" s="48"/>
      <c r="I30" s="48"/>
      <c r="M30" s="30">
        <v>24</v>
      </c>
      <c r="N30" s="34">
        <f t="shared" si="1"/>
        <v>939511.79826017178</v>
      </c>
      <c r="O30" s="35">
        <f t="shared" si="2"/>
        <v>9.5248850160605233E-2</v>
      </c>
      <c r="P30" s="36">
        <f>'All Cash'!$D$38</f>
        <v>410990.00000000012</v>
      </c>
      <c r="Q30" s="37">
        <f>'All Cash'!$H$31</f>
        <v>3.5000000000000003E-2</v>
      </c>
      <c r="R30" s="38">
        <f>'All Cash'!$D$24</f>
        <v>405990</v>
      </c>
      <c r="S30" s="38">
        <v>0</v>
      </c>
      <c r="T30" s="39">
        <f t="shared" si="3"/>
        <v>521018.53252422763</v>
      </c>
      <c r="U30" s="39">
        <v>0</v>
      </c>
      <c r="V30" s="39">
        <f>(R30+T30)*'All Cash'!$H$35</f>
        <v>64890.597276695938</v>
      </c>
      <c r="W30" s="36">
        <f>'All Cash'!$I$27*'All Cash'!$M30</f>
        <v>483383.86301263998</v>
      </c>
      <c r="X30" s="34">
        <f t="shared" si="4"/>
        <v>22228.994292193333</v>
      </c>
      <c r="Y30" s="80">
        <f t="shared" si="5"/>
        <v>0</v>
      </c>
      <c r="Z30" s="70">
        <f t="shared" si="0"/>
        <v>0</v>
      </c>
    </row>
    <row r="31" spans="1:26">
      <c r="A31" s="10"/>
      <c r="B31" s="56" t="s">
        <v>26</v>
      </c>
      <c r="D31" s="57">
        <f>H43</f>
        <v>7.4765377394907517E-2</v>
      </c>
      <c r="F31" s="43"/>
      <c r="G31" s="44" t="s">
        <v>10</v>
      </c>
      <c r="H31" s="62">
        <f>Summary!C12</f>
        <v>3.5000000000000003E-2</v>
      </c>
      <c r="I31" s="45"/>
      <c r="M31" s="30">
        <v>25</v>
      </c>
      <c r="N31" s="34">
        <f t="shared" si="1"/>
        <v>989826.92028602841</v>
      </c>
      <c r="O31" s="35">
        <f t="shared" si="2"/>
        <v>9.633586416078524E-2</v>
      </c>
      <c r="P31" s="36">
        <f>'All Cash'!$D$38</f>
        <v>410990.00000000012</v>
      </c>
      <c r="Q31" s="37">
        <f>'All Cash'!$H$31</f>
        <v>3.5000000000000003E-2</v>
      </c>
      <c r="R31" s="38">
        <f>'All Cash'!$D$24</f>
        <v>405990</v>
      </c>
      <c r="S31" s="38">
        <v>0</v>
      </c>
      <c r="T31" s="39">
        <f t="shared" si="3"/>
        <v>553463.83116257552</v>
      </c>
      <c r="U31" s="39">
        <v>0</v>
      </c>
      <c r="V31" s="39">
        <f>(R31+T31)*'All Cash'!$H$35</f>
        <v>67161.768181380292</v>
      </c>
      <c r="W31" s="36">
        <f>'All Cash'!$I$27*'All Cash'!$M31</f>
        <v>503524.85730483331</v>
      </c>
      <c r="X31" s="34">
        <f t="shared" si="4"/>
        <v>22228.994292193333</v>
      </c>
      <c r="Y31" s="80">
        <f t="shared" si="5"/>
        <v>0</v>
      </c>
      <c r="Z31" s="70">
        <f t="shared" si="0"/>
        <v>0</v>
      </c>
    </row>
    <row r="32" spans="1:26">
      <c r="A32" s="10"/>
      <c r="B32" s="56" t="s">
        <v>60</v>
      </c>
      <c r="C32" s="56"/>
      <c r="D32" s="57">
        <f>H44</f>
        <v>4.9609582236491867E-2</v>
      </c>
      <c r="E32" s="45"/>
      <c r="F32" s="43"/>
      <c r="G32" s="44" t="s">
        <v>61</v>
      </c>
      <c r="H32" s="79">
        <f>Summary!C13</f>
        <v>15</v>
      </c>
      <c r="I32" s="45"/>
      <c r="M32" s="30">
        <v>26</v>
      </c>
      <c r="N32" s="34">
        <f t="shared" si="1"/>
        <v>1041198.1367825636</v>
      </c>
      <c r="O32" s="35">
        <f t="shared" si="2"/>
        <v>9.7438093831832273E-2</v>
      </c>
      <c r="P32" s="36">
        <f>'All Cash'!$D$38</f>
        <v>410990.00000000012</v>
      </c>
      <c r="Q32" s="37">
        <f>'All Cash'!$H$31</f>
        <v>3.5000000000000003E-2</v>
      </c>
      <c r="R32" s="38">
        <f>'All Cash'!$D$24</f>
        <v>405990</v>
      </c>
      <c r="S32" s="38">
        <v>0</v>
      </c>
      <c r="T32" s="39">
        <f t="shared" si="3"/>
        <v>587044.71525326557</v>
      </c>
      <c r="U32" s="39">
        <v>0</v>
      </c>
      <c r="V32" s="39">
        <f>(R32+T32)*'All Cash'!$H$35</f>
        <v>69512.430067728594</v>
      </c>
      <c r="W32" s="36">
        <f>'All Cash'!$I$27*'All Cash'!$M32</f>
        <v>523665.85159702663</v>
      </c>
      <c r="X32" s="34">
        <f t="shared" si="4"/>
        <v>22228.994292193333</v>
      </c>
      <c r="Y32" s="80">
        <f t="shared" si="5"/>
        <v>0</v>
      </c>
      <c r="Z32" s="70">
        <f t="shared" si="0"/>
        <v>0</v>
      </c>
    </row>
    <row r="33" spans="1:26" ht="17.25">
      <c r="A33" s="10"/>
      <c r="B33" s="46" t="s">
        <v>62</v>
      </c>
      <c r="C33" s="46"/>
      <c r="D33" s="47"/>
      <c r="E33" s="48"/>
      <c r="F33" s="43"/>
      <c r="G33" s="56" t="str">
        <f>CONCATENATE("Appreciation After ",H32," Years")</f>
        <v>Appreciation After 15 Years</v>
      </c>
      <c r="H33" s="58">
        <f>$D$34*(1+H31)^H32-$D$34</f>
        <v>274184.87179706921</v>
      </c>
      <c r="I33" s="10"/>
      <c r="M33" s="30">
        <v>27</v>
      </c>
      <c r="N33" s="34">
        <f t="shared" si="1"/>
        <v>1093662.4110562508</v>
      </c>
      <c r="O33" s="35">
        <f t="shared" si="2"/>
        <v>9.8557179552557425E-2</v>
      </c>
      <c r="P33" s="36">
        <f>'All Cash'!$D$38</f>
        <v>410990.00000000012</v>
      </c>
      <c r="Q33" s="37">
        <f>'All Cash'!$H$31</f>
        <v>3.5000000000000003E-2</v>
      </c>
      <c r="R33" s="38">
        <f>'All Cash'!$D$24</f>
        <v>405990</v>
      </c>
      <c r="S33" s="38">
        <v>0</v>
      </c>
      <c r="T33" s="39">
        <f t="shared" si="3"/>
        <v>621800.93028712994</v>
      </c>
      <c r="U33" s="39">
        <v>0</v>
      </c>
      <c r="V33" s="39">
        <f>(R33+T33)*'All Cash'!$H$35</f>
        <v>71945.365120099101</v>
      </c>
      <c r="W33" s="36">
        <f>'All Cash'!$I$27*'All Cash'!$M33</f>
        <v>543806.84588922001</v>
      </c>
      <c r="X33" s="34">
        <f t="shared" si="4"/>
        <v>22228.994292193333</v>
      </c>
      <c r="Y33" s="80">
        <f t="shared" si="5"/>
        <v>0</v>
      </c>
      <c r="Z33" s="70">
        <f t="shared" si="0"/>
        <v>0</v>
      </c>
    </row>
    <row r="34" spans="1:26">
      <c r="A34" s="10"/>
      <c r="B34" s="44" t="s">
        <v>32</v>
      </c>
      <c r="C34" s="44"/>
      <c r="D34" s="50">
        <f>Summary!C8</f>
        <v>405990</v>
      </c>
      <c r="E34" s="45"/>
      <c r="F34" s="43"/>
      <c r="G34" s="10"/>
      <c r="H34" s="10"/>
      <c r="I34" s="10"/>
      <c r="M34" s="30">
        <v>28</v>
      </c>
      <c r="N34" s="34">
        <f t="shared" si="1"/>
        <v>1147258.0001292902</v>
      </c>
      <c r="O34" s="35">
        <f t="shared" si="2"/>
        <v>9.9694639783492286E-2</v>
      </c>
      <c r="P34" s="36">
        <f>'All Cash'!$D$38</f>
        <v>410990.00000000012</v>
      </c>
      <c r="Q34" s="37">
        <f>'All Cash'!$H$31</f>
        <v>3.5000000000000003E-2</v>
      </c>
      <c r="R34" s="38">
        <f>'All Cash'!$D$24</f>
        <v>405990</v>
      </c>
      <c r="S34" s="38">
        <v>0</v>
      </c>
      <c r="T34" s="39">
        <f t="shared" si="3"/>
        <v>657773.61284717941</v>
      </c>
      <c r="U34" s="39">
        <v>0</v>
      </c>
      <c r="V34" s="39">
        <f>(R34+T34)*'All Cash'!$H$35</f>
        <v>74463.45289930256</v>
      </c>
      <c r="W34" s="36">
        <f>'All Cash'!$I$27*'All Cash'!$M34</f>
        <v>563947.84018141334</v>
      </c>
      <c r="X34" s="34">
        <f t="shared" si="4"/>
        <v>22228.994292193333</v>
      </c>
      <c r="Y34" s="80">
        <f t="shared" si="5"/>
        <v>0</v>
      </c>
      <c r="Z34" s="70">
        <f t="shared" si="0"/>
        <v>0</v>
      </c>
    </row>
    <row r="35" spans="1:26">
      <c r="A35" s="10"/>
      <c r="B35" s="44" t="s">
        <v>63</v>
      </c>
      <c r="C35" s="81">
        <v>1.0000000000000002</v>
      </c>
      <c r="D35" s="52">
        <f>C35*D34</f>
        <v>405990.00000000012</v>
      </c>
      <c r="E35" s="45"/>
      <c r="F35" s="43"/>
      <c r="G35" s="44" t="s">
        <v>64</v>
      </c>
      <c r="H35" s="51">
        <v>7.0000000000000007E-2</v>
      </c>
      <c r="I35" s="45" t="s">
        <v>65</v>
      </c>
      <c r="M35" s="30">
        <v>29</v>
      </c>
      <c r="N35" s="34">
        <f t="shared" si="1"/>
        <v>1202024.5000196591</v>
      </c>
      <c r="O35" s="35">
        <f t="shared" si="2"/>
        <v>0.10085189588635504</v>
      </c>
      <c r="P35" s="36">
        <f>'All Cash'!$D$38</f>
        <v>410990.00000000012</v>
      </c>
      <c r="Q35" s="37">
        <f>'All Cash'!$H$31</f>
        <v>3.5000000000000003E-2</v>
      </c>
      <c r="R35" s="38">
        <f>'All Cash'!$D$24</f>
        <v>405990</v>
      </c>
      <c r="S35" s="38">
        <v>0</v>
      </c>
      <c r="T35" s="39">
        <f t="shared" si="3"/>
        <v>695005.33929683059</v>
      </c>
      <c r="U35" s="39">
        <v>0</v>
      </c>
      <c r="V35" s="39">
        <f>(R35+T35)*'All Cash'!$H$35</f>
        <v>77069.673750778151</v>
      </c>
      <c r="W35" s="36">
        <f>'All Cash'!$I$27*'All Cash'!$M35</f>
        <v>584088.83447360666</v>
      </c>
      <c r="X35" s="34">
        <f t="shared" si="4"/>
        <v>22228.994292193333</v>
      </c>
      <c r="Y35" s="80">
        <f t="shared" si="5"/>
        <v>0</v>
      </c>
      <c r="Z35" s="70">
        <f t="shared" si="0"/>
        <v>0</v>
      </c>
    </row>
    <row r="36" spans="1:26">
      <c r="A36" s="10"/>
      <c r="B36" s="44" t="s">
        <v>66</v>
      </c>
      <c r="C36" s="44"/>
      <c r="D36" s="52">
        <v>5000</v>
      </c>
      <c r="E36" s="45"/>
      <c r="F36" s="43"/>
      <c r="G36" s="44" t="s">
        <v>46</v>
      </c>
      <c r="H36" s="52">
        <f>(D34+H33)*$H$35</f>
        <v>47612.24102579485</v>
      </c>
      <c r="I36" s="45"/>
      <c r="M36" s="30">
        <v>30</v>
      </c>
      <c r="N36" s="34">
        <f t="shared" si="1"/>
        <v>1258002.8926059643</v>
      </c>
      <c r="O36" s="35">
        <f t="shared" si="2"/>
        <v>0.10203029210815867</v>
      </c>
      <c r="P36" s="36">
        <f>'All Cash'!$D$38</f>
        <v>410990.00000000012</v>
      </c>
      <c r="Q36" s="37">
        <f>'All Cash'!$H$31</f>
        <v>3.5000000000000003E-2</v>
      </c>
      <c r="R36" s="38">
        <f>'All Cash'!$D$24</f>
        <v>405990</v>
      </c>
      <c r="S36" s="38">
        <v>0</v>
      </c>
      <c r="T36" s="39">
        <f t="shared" si="3"/>
        <v>733540.17617221968</v>
      </c>
      <c r="U36" s="39">
        <v>0</v>
      </c>
      <c r="V36" s="39">
        <f>(R36+T36)*'All Cash'!$H$35</f>
        <v>79767.112332055389</v>
      </c>
      <c r="W36" s="36">
        <f>'All Cash'!$I$27*'All Cash'!$M36</f>
        <v>604229.82876579999</v>
      </c>
      <c r="X36" s="34">
        <f t="shared" si="4"/>
        <v>22228.994292193333</v>
      </c>
      <c r="Y36" s="80">
        <f t="shared" si="5"/>
        <v>0</v>
      </c>
      <c r="Z36" s="70">
        <f t="shared" si="0"/>
        <v>0</v>
      </c>
    </row>
    <row r="37" spans="1:26">
      <c r="A37" s="10"/>
      <c r="B37" s="44" t="s">
        <v>67</v>
      </c>
      <c r="C37" s="44"/>
      <c r="D37" s="50">
        <v>0</v>
      </c>
      <c r="E37" s="60"/>
      <c r="F37" s="43"/>
      <c r="G37" s="56" t="s">
        <v>17</v>
      </c>
      <c r="H37" s="64">
        <f>H32*I27</f>
        <v>302114.91438289999</v>
      </c>
      <c r="I37" s="45"/>
      <c r="J37" s="3"/>
      <c r="N37" s="34"/>
      <c r="Z37" s="70"/>
    </row>
    <row r="38" spans="1:26">
      <c r="A38" s="10"/>
      <c r="B38" s="56" t="s">
        <v>42</v>
      </c>
      <c r="C38" s="56"/>
      <c r="D38" s="61">
        <f>SUM(D35:D37)</f>
        <v>410990.00000000012</v>
      </c>
      <c r="E38" s="45"/>
      <c r="F38" s="43"/>
      <c r="G38" s="56" t="s">
        <v>40</v>
      </c>
      <c r="H38" s="58">
        <f>H37+H33-H36</f>
        <v>528687.54515417432</v>
      </c>
      <c r="I38" s="45"/>
      <c r="J38" s="3"/>
      <c r="Z38" s="70"/>
    </row>
    <row r="39" spans="1:26" ht="17.25">
      <c r="A39" s="10"/>
      <c r="B39" s="46" t="s">
        <v>68</v>
      </c>
      <c r="C39" s="46"/>
      <c r="D39" s="48" t="s">
        <v>50</v>
      </c>
      <c r="E39" s="48" t="s">
        <v>51</v>
      </c>
      <c r="F39" s="43"/>
      <c r="G39" s="10"/>
      <c r="H39" s="10"/>
      <c r="I39" s="45"/>
      <c r="Z39" s="70"/>
    </row>
    <row r="40" spans="1:26">
      <c r="A40" s="10"/>
      <c r="B40" s="44" t="s">
        <v>69</v>
      </c>
      <c r="C40" s="82">
        <v>2.0030539999999999E-2</v>
      </c>
      <c r="D40" s="52">
        <f>C40*0.9*D34/12</f>
        <v>609.91492009499996</v>
      </c>
      <c r="E40" s="53">
        <f t="shared" ref="E40:E46" si="7">D40*12</f>
        <v>7318.979041139999</v>
      </c>
      <c r="F40" s="43"/>
      <c r="G40" s="56" t="s">
        <v>70</v>
      </c>
      <c r="H40" s="65">
        <f>((H37/D38)/H32)</f>
        <v>4.9006044653624972E-2</v>
      </c>
      <c r="I40" s="45"/>
      <c r="Z40" s="70"/>
    </row>
    <row r="41" spans="1:26">
      <c r="A41" s="10"/>
      <c r="B41" s="44" t="s">
        <v>71</v>
      </c>
      <c r="C41" s="44"/>
      <c r="D41" s="50">
        <v>105</v>
      </c>
      <c r="E41" s="53">
        <f t="shared" si="7"/>
        <v>1260</v>
      </c>
      <c r="F41" s="43"/>
      <c r="G41" s="56" t="s">
        <v>72</v>
      </c>
      <c r="H41" s="65">
        <f>((I28*H32)/D38)/H32</f>
        <v>5.4086460235512605E-2</v>
      </c>
      <c r="I41" s="45"/>
      <c r="Z41" s="70"/>
    </row>
    <row r="42" spans="1:26">
      <c r="A42" s="10"/>
      <c r="B42" s="44" t="s">
        <v>73</v>
      </c>
      <c r="C42" s="44"/>
      <c r="D42" s="50">
        <f>1000/12</f>
        <v>83.333333333333329</v>
      </c>
      <c r="E42" s="53">
        <f t="shared" si="7"/>
        <v>1000</v>
      </c>
      <c r="F42" s="43"/>
      <c r="G42" s="56" t="s">
        <v>59</v>
      </c>
      <c r="H42" s="65">
        <f>H38/D38/H32</f>
        <v>8.5758379385414765E-2</v>
      </c>
      <c r="I42" s="45"/>
      <c r="Z42" s="70"/>
    </row>
    <row r="43" spans="1:26">
      <c r="A43" s="10"/>
      <c r="B43" s="44" t="s">
        <v>74</v>
      </c>
      <c r="C43" s="84">
        <v>0.06</v>
      </c>
      <c r="D43" s="52">
        <f>(H25-D45)*C43</f>
        <v>168.78</v>
      </c>
      <c r="E43" s="53">
        <f t="shared" si="7"/>
        <v>2025.3600000000001</v>
      </c>
      <c r="F43" s="43"/>
      <c r="G43" s="56" t="s">
        <v>26</v>
      </c>
      <c r="H43" s="65">
        <f>IRR(Z6:Z36)</f>
        <v>7.4765377394907517E-2</v>
      </c>
      <c r="I43" s="45"/>
    </row>
    <row r="44" spans="1:26">
      <c r="A44" s="10"/>
      <c r="B44" s="44" t="s">
        <v>75</v>
      </c>
      <c r="C44" s="81">
        <v>0.5</v>
      </c>
      <c r="D44" s="52">
        <f>(C44*H25)/18</f>
        <v>80.555555555555557</v>
      </c>
      <c r="E44" s="53">
        <f t="shared" si="7"/>
        <v>966.66666666666674</v>
      </c>
      <c r="F44" s="43"/>
      <c r="G44" s="56" t="s">
        <v>60</v>
      </c>
      <c r="H44" s="65">
        <f>(I25-E47)/D34</f>
        <v>4.9609582236491867E-2</v>
      </c>
      <c r="I44" s="45"/>
    </row>
    <row r="45" spans="1:26">
      <c r="A45" s="10"/>
      <c r="B45" s="44" t="s">
        <v>76</v>
      </c>
      <c r="C45" s="81">
        <v>0.03</v>
      </c>
      <c r="D45" s="52">
        <f>C45*H25</f>
        <v>87</v>
      </c>
      <c r="E45" s="53">
        <f t="shared" si="7"/>
        <v>1044</v>
      </c>
      <c r="F45" s="43"/>
      <c r="G45" s="10"/>
      <c r="H45" s="10"/>
      <c r="I45" s="10"/>
    </row>
    <row r="46" spans="1:26" ht="17.25">
      <c r="A46" s="10"/>
      <c r="B46" s="44" t="s">
        <v>77</v>
      </c>
      <c r="C46" s="81">
        <v>0.03</v>
      </c>
      <c r="D46" s="52">
        <f>C46*H25</f>
        <v>87</v>
      </c>
      <c r="E46" s="53">
        <f t="shared" si="7"/>
        <v>1044</v>
      </c>
      <c r="F46" s="43"/>
      <c r="G46" s="46" t="s">
        <v>78</v>
      </c>
      <c r="H46" s="48"/>
      <c r="I46" s="48"/>
    </row>
    <row r="47" spans="1:26">
      <c r="A47" s="10"/>
      <c r="B47" s="56" t="s">
        <v>54</v>
      </c>
      <c r="C47" s="56"/>
      <c r="D47" s="58">
        <f>SUM(D40:D46)</f>
        <v>1221.583808983889</v>
      </c>
      <c r="E47" s="58">
        <f>SUM(E40:E46)</f>
        <v>14659.005707806666</v>
      </c>
      <c r="F47" s="43"/>
      <c r="G47" s="56" t="s">
        <v>79</v>
      </c>
      <c r="H47" s="66"/>
      <c r="I47" s="58">
        <f>(D34-68000)/27.5</f>
        <v>12290.545454545454</v>
      </c>
    </row>
    <row r="48" spans="1:26">
      <c r="A48" s="10"/>
      <c r="B48" s="10"/>
      <c r="C48" s="10"/>
      <c r="D48" s="17"/>
      <c r="E48" s="16"/>
      <c r="F48" s="43"/>
      <c r="G48" s="10"/>
      <c r="H48" s="10"/>
      <c r="I48" s="10"/>
    </row>
    <row r="49" spans="1:25">
      <c r="A49" s="10"/>
      <c r="B49" s="44"/>
      <c r="C49" s="10"/>
      <c r="D49" s="55"/>
      <c r="E49" s="54"/>
      <c r="F49" s="43"/>
      <c r="G49" s="10"/>
      <c r="H49" s="10"/>
      <c r="I49" s="10"/>
    </row>
    <row r="50" spans="1:25">
      <c r="A50" s="10"/>
      <c r="B50" s="18" t="s">
        <v>80</v>
      </c>
      <c r="C50" s="18"/>
      <c r="D50" s="17"/>
      <c r="E50" s="16"/>
      <c r="F50" s="10"/>
      <c r="G50" s="10"/>
      <c r="H50" s="10"/>
      <c r="I50" s="10"/>
    </row>
    <row r="51" spans="1:25" ht="67.5" customHeight="1">
      <c r="A51" s="10"/>
      <c r="B51" s="112" t="s">
        <v>81</v>
      </c>
      <c r="C51" s="112"/>
      <c r="D51" s="112"/>
      <c r="E51" s="112"/>
      <c r="F51" s="112"/>
      <c r="G51" s="112"/>
      <c r="H51" s="112"/>
      <c r="I51" s="112"/>
    </row>
    <row r="52" spans="1:25" ht="17.25">
      <c r="A52" s="10"/>
      <c r="B52" s="111" t="s">
        <v>37</v>
      </c>
      <c r="C52" s="111"/>
      <c r="D52" s="111"/>
      <c r="E52" s="111"/>
      <c r="F52" s="111"/>
      <c r="G52" s="111"/>
      <c r="H52" s="111"/>
      <c r="I52" s="111"/>
    </row>
    <row r="53" spans="1:25">
      <c r="B53" s="10"/>
      <c r="C53" s="10"/>
      <c r="D53" s="17"/>
      <c r="E53" s="16"/>
      <c r="F53" s="43"/>
    </row>
    <row r="54" spans="1:25" ht="17.25">
      <c r="B54" s="10"/>
      <c r="C54" s="10"/>
      <c r="D54" s="17"/>
      <c r="E54" s="16"/>
      <c r="F54" s="43"/>
      <c r="G54" s="75"/>
      <c r="H54" s="76"/>
      <c r="I54" s="76"/>
    </row>
    <row r="56" spans="1:25">
      <c r="B56" s="10"/>
      <c r="C56" s="10"/>
      <c r="D56" s="17"/>
      <c r="E56" s="16"/>
      <c r="F56" s="43"/>
      <c r="G56" s="56"/>
      <c r="H56" s="68"/>
      <c r="I56" s="58"/>
    </row>
    <row r="59" spans="1:25" s="10" customFormat="1" ht="17.25">
      <c r="B59" s="29"/>
      <c r="C59" s="29"/>
      <c r="D59" s="29"/>
      <c r="E59" s="29"/>
      <c r="F59" s="29"/>
      <c r="G59" s="29"/>
      <c r="H59" s="29"/>
      <c r="I59" s="29"/>
      <c r="L59" s="42"/>
      <c r="M59" s="42"/>
      <c r="N59" s="42"/>
      <c r="O59" s="42"/>
      <c r="P59" s="42"/>
      <c r="Q59" s="42"/>
      <c r="R59" s="42"/>
      <c r="S59" s="42"/>
      <c r="T59" s="42"/>
      <c r="U59" s="42"/>
      <c r="V59" s="42"/>
      <c r="W59" s="42"/>
      <c r="X59" s="42"/>
      <c r="Y59" s="42"/>
    </row>
    <row r="62" spans="1:25">
      <c r="F62" s="10"/>
    </row>
    <row r="63" spans="1:25">
      <c r="F63" s="10"/>
    </row>
    <row r="64" spans="1:25">
      <c r="F64" s="10"/>
    </row>
    <row r="65" spans="6:6">
      <c r="F65" s="10"/>
    </row>
    <row r="66" spans="6:6">
      <c r="F66" s="10"/>
    </row>
    <row r="67" spans="6:6">
      <c r="F67" s="10"/>
    </row>
    <row r="68" spans="6:6">
      <c r="F68" s="10"/>
    </row>
    <row r="69" spans="6:6">
      <c r="F69" s="10"/>
    </row>
    <row r="70" spans="6:6">
      <c r="F70" s="10"/>
    </row>
  </sheetData>
  <sheetProtection selectLockedCells="1"/>
  <mergeCells count="6">
    <mergeCell ref="B52:I52"/>
    <mergeCell ref="B51:I51"/>
    <mergeCell ref="B1:I1"/>
    <mergeCell ref="B2:I2"/>
    <mergeCell ref="B3:I3"/>
    <mergeCell ref="B4:I4"/>
  </mergeCells>
  <pageMargins left="0.7" right="0.7" top="0.75" bottom="0.75" header="0.3" footer="0.3"/>
  <pageSetup scale="57"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F1CE52F9-849F-4877-862B-E89AD503665D}">
          <x14:formula1>
            <xm:f>DAta!$A$2:$A$23</xm:f>
          </x14:formula1>
          <xm:sqref>C35</xm:sqref>
        </x14:dataValidation>
        <x14:dataValidation type="list" allowBlank="1" showInputMessage="1" showErrorMessage="1" xr:uid="{2EBFBCE8-408A-48C7-BDFC-C7A94A1285AF}">
          <x14:formula1>
            <xm:f>DAta!$C$2:$C$11</xm:f>
          </x14:formula1>
          <xm:sqref>C45</xm:sqref>
        </x14:dataValidation>
        <x14:dataValidation type="list" allowBlank="1" showInputMessage="1" showErrorMessage="1" xr:uid="{BC5487F1-78A2-459D-971F-444D282CD1D6}">
          <x14:formula1>
            <xm:f>DAta!$E$2:$E$11</xm:f>
          </x14:formula1>
          <xm:sqref>C46</xm:sqref>
        </x14:dataValidation>
        <x14:dataValidation type="list" allowBlank="1" showInputMessage="1" showErrorMessage="1" xr:uid="{11CFB7E3-980A-48DA-8336-D10841795B4D}">
          <x14:formula1>
            <xm:f>DAta!$H$2:$H$31</xm:f>
          </x14:formula1>
          <xm:sqref>H32</xm:sqref>
        </x14:dataValidation>
        <x14:dataValidation type="list" allowBlank="1" showInputMessage="1" showErrorMessage="1" xr:uid="{9F8A9939-6349-4075-BCB8-776EC7955801}">
          <x14:formula1>
            <xm:f>DAta!$F$2:$F$12</xm:f>
          </x14:formula1>
          <xm:sqref>C43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C46E9-F5B9-4682-AB87-CC6FBA180BA8}">
  <sheetPr codeName="Sheet1">
    <pageSetUpPr fitToPage="1"/>
  </sheetPr>
  <dimension ref="A1:AA68"/>
  <sheetViews>
    <sheetView zoomScale="85" zoomScaleNormal="85" workbookViewId="0">
      <selection activeCell="B4" sqref="B4:I4"/>
    </sheetView>
  </sheetViews>
  <sheetFormatPr defaultRowHeight="14.25"/>
  <cols>
    <col min="1" max="1" width="3.42578125" customWidth="1"/>
    <col min="2" max="2" width="45" customWidth="1"/>
    <col min="3" max="3" width="9" customWidth="1"/>
    <col min="4" max="4" width="12.7109375" style="8" customWidth="1"/>
    <col min="5" max="5" width="13.140625" style="9" customWidth="1"/>
    <col min="6" max="6" width="5" customWidth="1"/>
    <col min="7" max="7" width="46.7109375" customWidth="1"/>
    <col min="8" max="8" width="14.140625" bestFit="1" customWidth="1"/>
    <col min="9" max="9" width="13.140625" customWidth="1"/>
    <col min="10" max="10" width="13.42578125" bestFit="1" customWidth="1"/>
    <col min="12" max="12" width="9" style="30" customWidth="1"/>
    <col min="13" max="13" width="9.28515625" style="30" hidden="1" customWidth="1"/>
    <col min="14" max="14" width="20.28515625" style="30" hidden="1" customWidth="1"/>
    <col min="15" max="15" width="20.85546875" style="30" hidden="1" customWidth="1"/>
    <col min="16" max="16" width="26.28515625" style="30" hidden="1" customWidth="1"/>
    <col min="17" max="17" width="19.28515625" style="30" hidden="1" customWidth="1"/>
    <col min="18" max="18" width="9.5703125" style="30" hidden="1" customWidth="1"/>
    <col min="19" max="19" width="12.7109375" style="30" hidden="1" customWidth="1"/>
    <col min="20" max="20" width="12.5703125" style="30" hidden="1" customWidth="1"/>
    <col min="21" max="21" width="17.5703125" style="30" hidden="1" customWidth="1"/>
    <col min="22" max="22" width="16.42578125" style="30" hidden="1" customWidth="1"/>
    <col min="23" max="23" width="24.140625" style="30" hidden="1" customWidth="1"/>
    <col min="24" max="24" width="13.5703125" style="30" hidden="1" customWidth="1"/>
    <col min="25" max="25" width="12.42578125" style="30" hidden="1" customWidth="1"/>
    <col min="26" max="26" width="20.5703125" hidden="1" customWidth="1"/>
    <col min="27" max="27" width="13.42578125" bestFit="1" customWidth="1"/>
  </cols>
  <sheetData>
    <row r="1" spans="1:26">
      <c r="A1" s="10"/>
      <c r="B1" s="113"/>
      <c r="C1" s="113"/>
      <c r="D1" s="113"/>
      <c r="E1" s="113"/>
      <c r="F1" s="113"/>
      <c r="G1" s="113"/>
      <c r="H1" s="113"/>
      <c r="I1" s="113"/>
    </row>
    <row r="2" spans="1:26">
      <c r="A2" s="10"/>
      <c r="B2" s="113"/>
      <c r="C2" s="113"/>
      <c r="D2" s="113"/>
      <c r="E2" s="113"/>
      <c r="F2" s="113"/>
      <c r="G2" s="113"/>
      <c r="H2" s="113"/>
      <c r="I2" s="113"/>
    </row>
    <row r="3" spans="1:26" ht="23.25" customHeight="1">
      <c r="A3" s="10"/>
      <c r="B3" s="113"/>
      <c r="C3" s="113"/>
      <c r="D3" s="113"/>
      <c r="E3" s="113"/>
      <c r="F3" s="113"/>
      <c r="G3" s="113"/>
      <c r="H3" s="113"/>
      <c r="I3" s="113"/>
    </row>
    <row r="4" spans="1:26" ht="22.5">
      <c r="A4" s="10"/>
      <c r="B4" s="114" t="s">
        <v>38</v>
      </c>
      <c r="C4" s="114"/>
      <c r="D4" s="114"/>
      <c r="E4" s="114"/>
      <c r="F4" s="114"/>
      <c r="G4" s="114"/>
      <c r="H4" s="114"/>
      <c r="I4" s="114"/>
    </row>
    <row r="5" spans="1:26">
      <c r="A5" s="10"/>
      <c r="B5" s="43"/>
      <c r="C5" s="43"/>
      <c r="D5" s="44"/>
      <c r="E5" s="45"/>
      <c r="F5" s="43"/>
      <c r="G5" s="43"/>
      <c r="H5" s="43"/>
      <c r="I5" s="43"/>
      <c r="M5" s="31" t="s">
        <v>39</v>
      </c>
      <c r="N5" s="31" t="s">
        <v>40</v>
      </c>
      <c r="O5" s="32" t="s">
        <v>41</v>
      </c>
      <c r="P5" s="31" t="s">
        <v>42</v>
      </c>
      <c r="Q5" s="31" t="s">
        <v>10</v>
      </c>
      <c r="R5" s="31" t="s">
        <v>6</v>
      </c>
      <c r="S5" s="31" t="s">
        <v>43</v>
      </c>
      <c r="T5" s="31" t="s">
        <v>44</v>
      </c>
      <c r="U5" s="31" t="s">
        <v>45</v>
      </c>
      <c r="V5" s="31" t="s">
        <v>46</v>
      </c>
      <c r="W5" s="33" t="s">
        <v>17</v>
      </c>
      <c r="X5" s="33" t="s">
        <v>47</v>
      </c>
      <c r="Y5" s="33" t="s">
        <v>48</v>
      </c>
      <c r="Z5" s="33" t="s">
        <v>49</v>
      </c>
    </row>
    <row r="6" spans="1:26" ht="14.25" customHeight="1">
      <c r="A6" s="10"/>
      <c r="B6" s="43"/>
      <c r="C6" s="43"/>
      <c r="D6" s="44"/>
      <c r="E6" s="45"/>
      <c r="F6" s="43"/>
      <c r="G6" s="43"/>
      <c r="H6" s="43"/>
      <c r="I6" s="43"/>
      <c r="M6" s="30">
        <v>0</v>
      </c>
      <c r="X6" s="34">
        <f>-D38</f>
        <v>-133471.15342466856</v>
      </c>
      <c r="Z6" s="70">
        <f>SUM(X6:Y6)</f>
        <v>-133471.15342466856</v>
      </c>
    </row>
    <row r="7" spans="1:26" ht="14.25" customHeight="1">
      <c r="A7" s="10"/>
      <c r="B7" s="43"/>
      <c r="C7" s="43"/>
      <c r="D7" s="44"/>
      <c r="E7" s="45"/>
      <c r="F7" s="43"/>
      <c r="G7" s="43"/>
      <c r="H7" s="43"/>
      <c r="I7" s="43"/>
      <c r="M7" s="30">
        <v>1</v>
      </c>
      <c r="N7" s="34">
        <f t="shared" ref="N7:N36" si="0">W7+T7+U7-V7</f>
        <v>-5631.3595571626283</v>
      </c>
      <c r="O7" s="35">
        <f t="shared" ref="O7:O36" si="1">N7/P7/M7</f>
        <v>-4.2191585317654282E-2</v>
      </c>
      <c r="P7" s="36">
        <f>'With Loan'!$D$38</f>
        <v>133471.15342466856</v>
      </c>
      <c r="Q7" s="37">
        <f>'With Loan'!$H$31</f>
        <v>3.5000000000000003E-2</v>
      </c>
      <c r="R7" s="38">
        <f>'With Loan'!$D$24</f>
        <v>405990</v>
      </c>
      <c r="S7" s="38">
        <f>'With Loan'!$D$40</f>
        <v>284193</v>
      </c>
      <c r="T7" s="39">
        <f t="shared" ref="T7:T36" si="2">$R$7*(1+Q7)^M7-$R$7</f>
        <v>14209.649999999965</v>
      </c>
      <c r="U7" s="39">
        <f>S7-_xlfn.XLOOKUP($M7*12,'30% Down Amortization'!$A$4:$A$363,'30% Down Amortization'!$E$4:$E$363,0,0,1)</f>
        <v>5225.6767685230006</v>
      </c>
      <c r="V7" s="39">
        <f>(R7+T7)*'With Loan'!$H$36</f>
        <v>29413.9755</v>
      </c>
      <c r="W7" s="36">
        <f>'With Loan'!$I$27*'With Loan'!$M7</f>
        <v>4347.2891743144064</v>
      </c>
      <c r="X7" s="34">
        <f>$I$27</f>
        <v>4347.2891743144064</v>
      </c>
      <c r="Y7" s="80">
        <f>IF($H$32=$M7,R7+T7-V7-_xlfn.XLOOKUP(M7*12,'30% Down Amortization'!$A$4:$A$363,'30% Down Amortization'!$E$4:$E$363,0,0,1),0)</f>
        <v>0</v>
      </c>
      <c r="Z7" s="70">
        <f t="shared" ref="Z7:Z36" si="3">IF($H$32&gt;=M7,SUM(X7:Y7),0)</f>
        <v>4347.2891743144064</v>
      </c>
    </row>
    <row r="8" spans="1:26" ht="14.25" customHeight="1">
      <c r="A8" s="10"/>
      <c r="B8" s="43"/>
      <c r="C8" s="43"/>
      <c r="D8" s="44"/>
      <c r="E8" s="45"/>
      <c r="F8" s="43"/>
      <c r="G8" s="43"/>
      <c r="H8" s="43"/>
      <c r="I8" s="43"/>
      <c r="M8" s="30">
        <v>2</v>
      </c>
      <c r="N8" s="34">
        <f t="shared" si="0"/>
        <v>17818.471316399718</v>
      </c>
      <c r="O8" s="35">
        <f t="shared" si="1"/>
        <v>6.6750270973182632E-2</v>
      </c>
      <c r="P8" s="36">
        <f>'With Loan'!$D$38</f>
        <v>133471.15342466856</v>
      </c>
      <c r="Q8" s="37">
        <f>'With Loan'!$H$31</f>
        <v>3.5000000000000003E-2</v>
      </c>
      <c r="R8" s="38">
        <f>'With Loan'!$D$24</f>
        <v>405990</v>
      </c>
      <c r="S8" s="38">
        <f>'With Loan'!$D$40</f>
        <v>284193</v>
      </c>
      <c r="T8" s="39">
        <f t="shared" si="2"/>
        <v>28916.637749999936</v>
      </c>
      <c r="U8" s="39">
        <f>S8-_xlfn.XLOOKUP($M8*12,'30% Down Amortization'!$A$4:$A$363,'30% Down Amortization'!$E$4:$E$363,0,0,1)</f>
        <v>10650.719860270969</v>
      </c>
      <c r="V8" s="39">
        <f>(R8+T8)*'With Loan'!$H$36</f>
        <v>30443.464642499999</v>
      </c>
      <c r="W8" s="36">
        <f>'With Loan'!$I$27*'With Loan'!$M8</f>
        <v>8694.5783486288128</v>
      </c>
      <c r="X8" s="34">
        <f t="shared" ref="X8:X36" si="4">$I$27</f>
        <v>4347.2891743144064</v>
      </c>
      <c r="Y8" s="80">
        <f>IF($H$32=$M8,R8+T8-V8-_xlfn.XLOOKUP(M8*12,'30% Down Amortization'!$A$4:$A$363,'30% Down Amortization'!$E$4:$E$363,0,0,1),0)</f>
        <v>0</v>
      </c>
      <c r="Z8" s="70">
        <f t="shared" si="3"/>
        <v>4347.2891743144064</v>
      </c>
    </row>
    <row r="9" spans="1:26" ht="14.25" customHeight="1">
      <c r="A9" s="10"/>
      <c r="B9" s="43"/>
      <c r="C9" s="43"/>
      <c r="D9" s="44"/>
      <c r="E9" s="45"/>
      <c r="F9" s="43"/>
      <c r="G9" s="43"/>
      <c r="H9" s="43"/>
      <c r="I9" s="43"/>
      <c r="M9" s="30">
        <v>3</v>
      </c>
      <c r="N9" s="34">
        <f t="shared" si="0"/>
        <v>41953.987047373579</v>
      </c>
      <c r="O9" s="35">
        <f t="shared" si="1"/>
        <v>0.10477666514673152</v>
      </c>
      <c r="P9" s="36">
        <f>'With Loan'!$D$38</f>
        <v>133471.15342466856</v>
      </c>
      <c r="Q9" s="37">
        <f>'With Loan'!$H$31</f>
        <v>3.5000000000000003E-2</v>
      </c>
      <c r="R9" s="38">
        <f>'With Loan'!$D$24</f>
        <v>405990</v>
      </c>
      <c r="S9" s="38">
        <f>'With Loan'!$D$40</f>
        <v>284193</v>
      </c>
      <c r="T9" s="39">
        <f t="shared" si="2"/>
        <v>44138.370071249898</v>
      </c>
      <c r="U9" s="39">
        <f>S9-_xlfn.XLOOKUP($M9*12,'30% Down Amortization'!$A$4:$A$363,'30% Down Amortization'!$E$4:$E$363,0,0,1)</f>
        <v>16282.735358167964</v>
      </c>
      <c r="V9" s="39">
        <f>(R9+T9)*'With Loan'!$H$36</f>
        <v>31508.985904987498</v>
      </c>
      <c r="W9" s="36">
        <f>'With Loan'!$I$27*'With Loan'!$M9</f>
        <v>13041.867522943219</v>
      </c>
      <c r="X9" s="34">
        <f t="shared" si="4"/>
        <v>4347.2891743144064</v>
      </c>
      <c r="Y9" s="80">
        <f>IF($H$32=$M9,R9+T9-V9-_xlfn.XLOOKUP(M9*12,'30% Down Amortization'!$A$4:$A$363,'30% Down Amortization'!$E$4:$E$363,0,0,1),0)</f>
        <v>0</v>
      </c>
      <c r="Z9" s="70">
        <f t="shared" si="3"/>
        <v>4347.2891743144064</v>
      </c>
    </row>
    <row r="10" spans="1:26" ht="14.25" customHeight="1">
      <c r="A10" s="10"/>
      <c r="B10" s="43"/>
      <c r="C10" s="43"/>
      <c r="D10" s="44"/>
      <c r="E10" s="45"/>
      <c r="F10" s="43"/>
      <c r="G10" s="43"/>
      <c r="H10" s="43"/>
      <c r="I10" s="43"/>
      <c r="M10" s="30">
        <v>4</v>
      </c>
      <c r="N10" s="34">
        <f t="shared" si="0"/>
        <v>66799.838836372393</v>
      </c>
      <c r="O10" s="35">
        <f t="shared" si="1"/>
        <v>0.12512036706507221</v>
      </c>
      <c r="P10" s="36">
        <f>'With Loan'!$D$38</f>
        <v>133471.15342466856</v>
      </c>
      <c r="Q10" s="37">
        <f>'With Loan'!$H$31</f>
        <v>3.5000000000000003E-2</v>
      </c>
      <c r="R10" s="38">
        <f>'With Loan'!$D$24</f>
        <v>405990</v>
      </c>
      <c r="S10" s="38">
        <f>'With Loan'!$D$40</f>
        <v>284193</v>
      </c>
      <c r="T10" s="39">
        <f t="shared" si="2"/>
        <v>59892.863023743615</v>
      </c>
      <c r="U10" s="39">
        <f>S10-_xlfn.XLOOKUP($M10*12,'30% Down Amortization'!$A$4:$A$363,'30% Down Amortization'!$E$4:$E$363,0,0,1)</f>
        <v>22129.61952703321</v>
      </c>
      <c r="V10" s="39">
        <f>(R10+T10)*'With Loan'!$H$36</f>
        <v>32611.800411662058</v>
      </c>
      <c r="W10" s="36">
        <f>'With Loan'!$I$27*'With Loan'!$M10</f>
        <v>17389.156697257626</v>
      </c>
      <c r="X10" s="34">
        <f t="shared" si="4"/>
        <v>4347.2891743144064</v>
      </c>
      <c r="Y10" s="80">
        <f>IF($H$32=$M10,R10+T10-V10-_xlfn.XLOOKUP(M10*12,'30% Down Amortization'!$A$4:$A$363,'30% Down Amortization'!$E$4:$E$363,0,0,1),0)</f>
        <v>0</v>
      </c>
      <c r="Z10" s="70">
        <f t="shared" si="3"/>
        <v>4347.2891743144064</v>
      </c>
    </row>
    <row r="11" spans="1:26" ht="14.25" customHeight="1">
      <c r="A11" s="10"/>
      <c r="B11" s="43"/>
      <c r="C11" s="43"/>
      <c r="D11" s="44"/>
      <c r="E11" s="45"/>
      <c r="F11" s="43"/>
      <c r="G11" s="43"/>
      <c r="H11" s="43"/>
      <c r="I11" s="43"/>
      <c r="M11" s="30">
        <v>5</v>
      </c>
      <c r="N11" s="34">
        <f t="shared" si="0"/>
        <v>92381.565559471317</v>
      </c>
      <c r="O11" s="35">
        <f t="shared" si="1"/>
        <v>0.13842926083891482</v>
      </c>
      <c r="P11" s="36">
        <f>'With Loan'!$D$38</f>
        <v>133471.15342466856</v>
      </c>
      <c r="Q11" s="37">
        <f>'With Loan'!$H$31</f>
        <v>3.5000000000000003E-2</v>
      </c>
      <c r="R11" s="38">
        <f>'With Loan'!$D$24</f>
        <v>405990</v>
      </c>
      <c r="S11" s="38">
        <f>'With Loan'!$D$40</f>
        <v>284193</v>
      </c>
      <c r="T11" s="39">
        <f t="shared" si="2"/>
        <v>76198.763229574601</v>
      </c>
      <c r="U11" s="39">
        <f>S11-_xlfn.XLOOKUP($M11*12,'30% Down Amortization'!$A$4:$A$363,'30% Down Amortization'!$E$4:$E$363,0,0,1)</f>
        <v>28199.569884394907</v>
      </c>
      <c r="V11" s="39">
        <f>(R11+T11)*'With Loan'!$H$36</f>
        <v>33753.213426070222</v>
      </c>
      <c r="W11" s="36">
        <f>'With Loan'!$I$27*'With Loan'!$M11</f>
        <v>21736.445871572032</v>
      </c>
      <c r="X11" s="34">
        <f t="shared" si="4"/>
        <v>4347.2891743144064</v>
      </c>
      <c r="Y11" s="80">
        <f>IF($H$32=$M11,R11+T11-V11-_xlfn.XLOOKUP(M11*12,'30% Down Amortization'!$A$4:$A$363,'30% Down Amortization'!$E$4:$E$363,0,0,1),0)</f>
        <v>0</v>
      </c>
      <c r="Z11" s="70">
        <f t="shared" si="3"/>
        <v>4347.2891743144064</v>
      </c>
    </row>
    <row r="12" spans="1:26" ht="14.25" customHeight="1">
      <c r="A12" s="10"/>
      <c r="B12" s="43"/>
      <c r="C12" s="43"/>
      <c r="D12" s="44"/>
      <c r="E12" s="45"/>
      <c r="F12" s="43"/>
      <c r="G12" s="43"/>
      <c r="H12" s="43"/>
      <c r="I12" s="43"/>
      <c r="M12" s="30">
        <v>6</v>
      </c>
      <c r="N12" s="34">
        <f t="shared" si="0"/>
        <v>118725.62578618433</v>
      </c>
      <c r="O12" s="35">
        <f t="shared" si="1"/>
        <v>0.1482537896015528</v>
      </c>
      <c r="P12" s="36">
        <f>'With Loan'!$D$38</f>
        <v>133471.15342466856</v>
      </c>
      <c r="Q12" s="37">
        <f>'With Loan'!$H$31</f>
        <v>3.5000000000000003E-2</v>
      </c>
      <c r="R12" s="38">
        <f>'With Loan'!$D$24</f>
        <v>405990</v>
      </c>
      <c r="S12" s="38">
        <f>'With Loan'!$D$40</f>
        <v>284193</v>
      </c>
      <c r="T12" s="39">
        <f t="shared" si="2"/>
        <v>93075.369942609745</v>
      </c>
      <c r="U12" s="39">
        <f>S12-_xlfn.XLOOKUP($M12*12,'30% Down Amortization'!$A$4:$A$363,'30% Down Amortization'!$E$4:$E$363,0,0,1)</f>
        <v>34501.096693670843</v>
      </c>
      <c r="V12" s="39">
        <f>(R12+T12)*'With Loan'!$H$36</f>
        <v>34934.575895982685</v>
      </c>
      <c r="W12" s="36">
        <f>'With Loan'!$I$27*'With Loan'!$M12</f>
        <v>26083.735045886438</v>
      </c>
      <c r="X12" s="34">
        <f t="shared" si="4"/>
        <v>4347.2891743144064</v>
      </c>
      <c r="Y12" s="80">
        <f>IF($H$32=$M12,R12+T12-V12-_xlfn.XLOOKUP(M12*12,'30% Down Amortization'!$A$4:$A$363,'30% Down Amortization'!$E$4:$E$363,0,0,1),0)</f>
        <v>0</v>
      </c>
      <c r="Z12" s="70">
        <f t="shared" si="3"/>
        <v>4347.2891743144064</v>
      </c>
    </row>
    <row r="13" spans="1:26" ht="14.25" customHeight="1">
      <c r="A13" s="10"/>
      <c r="B13" s="43"/>
      <c r="C13" s="43"/>
      <c r="D13" s="44"/>
      <c r="E13" s="45"/>
      <c r="F13" s="43"/>
      <c r="G13" s="43"/>
      <c r="H13" s="43"/>
      <c r="I13" s="43"/>
      <c r="M13" s="30">
        <v>7</v>
      </c>
      <c r="N13" s="34">
        <f t="shared" si="0"/>
        <v>145859.43095428799</v>
      </c>
      <c r="O13" s="35">
        <f t="shared" si="1"/>
        <v>0.15611659171476908</v>
      </c>
      <c r="P13" s="36">
        <f>'With Loan'!$D$38</f>
        <v>133471.15342466856</v>
      </c>
      <c r="Q13" s="37">
        <f>'With Loan'!$H$31</f>
        <v>3.5000000000000003E-2</v>
      </c>
      <c r="R13" s="38">
        <f>'With Loan'!$D$24</f>
        <v>405990</v>
      </c>
      <c r="S13" s="38">
        <f>'With Loan'!$D$40</f>
        <v>284193</v>
      </c>
      <c r="T13" s="39">
        <f t="shared" si="2"/>
        <v>110542.65789060103</v>
      </c>
      <c r="U13" s="39">
        <f>S13-_xlfn.XLOOKUP($M13*12,'30% Down Amortization'!$A$4:$A$363,'30% Down Amortization'!$E$4:$E$363,0,0,1)</f>
        <v>41043.034895828197</v>
      </c>
      <c r="V13" s="39">
        <f>(R13+T13)*'With Loan'!$H$36</f>
        <v>36157.286052342075</v>
      </c>
      <c r="W13" s="36">
        <f>'With Loan'!$I$27*'With Loan'!$M13</f>
        <v>30431.024220200845</v>
      </c>
      <c r="X13" s="34">
        <f t="shared" si="4"/>
        <v>4347.2891743144064</v>
      </c>
      <c r="Y13" s="80">
        <f>IF($H$32=$M13,R13+T13-V13-_xlfn.XLOOKUP(M13*12,'30% Down Amortization'!$A$4:$A$363,'30% Down Amortization'!$E$4:$E$363,0,0,1),0)</f>
        <v>0</v>
      </c>
      <c r="Z13" s="70">
        <f t="shared" si="3"/>
        <v>4347.2891743144064</v>
      </c>
    </row>
    <row r="14" spans="1:26" ht="14.25" customHeight="1">
      <c r="A14" s="10"/>
      <c r="B14" s="43"/>
      <c r="C14" s="43"/>
      <c r="D14" s="44"/>
      <c r="E14" s="45"/>
      <c r="F14" s="43"/>
      <c r="G14" s="43"/>
      <c r="H14" s="43"/>
      <c r="I14" s="43"/>
      <c r="M14" s="30">
        <v>8</v>
      </c>
      <c r="N14" s="34">
        <f t="shared" si="0"/>
        <v>173811.37974336499</v>
      </c>
      <c r="O14" s="35">
        <f t="shared" si="1"/>
        <v>0.16277991094295194</v>
      </c>
      <c r="P14" s="36">
        <f>'With Loan'!$D$38</f>
        <v>133471.15342466856</v>
      </c>
      <c r="Q14" s="37">
        <f>'With Loan'!$H$31</f>
        <v>3.5000000000000003E-2</v>
      </c>
      <c r="R14" s="38">
        <f>'With Loan'!$D$24</f>
        <v>405990</v>
      </c>
      <c r="S14" s="38">
        <f>'With Loan'!$D$40</f>
        <v>284193</v>
      </c>
      <c r="T14" s="39">
        <f t="shared" si="2"/>
        <v>128621.30091677199</v>
      </c>
      <c r="U14" s="39">
        <f>S14-_xlfn.XLOOKUP($M14*12,'30% Down Amortization'!$A$4:$A$363,'30% Down Amortization'!$E$4:$E$363,0,0,1)</f>
        <v>47834.556496251811</v>
      </c>
      <c r="V14" s="39">
        <f>(R14+T14)*'With Loan'!$H$36</f>
        <v>37422.791064174045</v>
      </c>
      <c r="W14" s="36">
        <f>'With Loan'!$I$27*'With Loan'!$M14</f>
        <v>34778.313394515251</v>
      </c>
      <c r="X14" s="34">
        <f t="shared" si="4"/>
        <v>4347.2891743144064</v>
      </c>
      <c r="Y14" s="80">
        <f>IF($H$32=$M14,R14+T14-V14-_xlfn.XLOOKUP(M14*12,'30% Down Amortization'!$A$4:$A$363,'30% Down Amortization'!$E$4:$E$363,0,0,1),0)</f>
        <v>0</v>
      </c>
      <c r="Z14" s="70">
        <f t="shared" si="3"/>
        <v>4347.2891743144064</v>
      </c>
    </row>
    <row r="15" spans="1:26" ht="14.25" customHeight="1">
      <c r="A15" s="10"/>
      <c r="B15" s="43"/>
      <c r="C15" s="43"/>
      <c r="D15" s="44"/>
      <c r="E15" s="45"/>
      <c r="F15" s="43"/>
      <c r="G15" s="43"/>
      <c r="H15" s="43"/>
      <c r="I15" s="43"/>
      <c r="M15" s="30">
        <v>9</v>
      </c>
      <c r="N15" s="34">
        <f t="shared" si="0"/>
        <v>202610.89369045568</v>
      </c>
      <c r="O15" s="35">
        <f t="shared" si="1"/>
        <v>0.16866806754515498</v>
      </c>
      <c r="P15" s="36">
        <f>'With Loan'!$D$38</f>
        <v>133471.15342466856</v>
      </c>
      <c r="Q15" s="37">
        <f>'With Loan'!$H$31</f>
        <v>3.5000000000000003E-2</v>
      </c>
      <c r="R15" s="38">
        <f>'With Loan'!$D$24</f>
        <v>405990</v>
      </c>
      <c r="S15" s="38">
        <f>'With Loan'!$D$40</f>
        <v>284193</v>
      </c>
      <c r="T15" s="39">
        <f t="shared" si="2"/>
        <v>147332.69644885883</v>
      </c>
      <c r="U15" s="39">
        <f>S15-_xlfn.XLOOKUP($M15*12,'30% Down Amortization'!$A$4:$A$363,'30% Down Amortization'!$E$4:$E$363,0,0,1)</f>
        <v>54885.1834241873</v>
      </c>
      <c r="V15" s="39">
        <f>(R15+T15)*'With Loan'!$H$36</f>
        <v>38732.588751420124</v>
      </c>
      <c r="W15" s="36">
        <f>'With Loan'!$I$27*'With Loan'!$M15</f>
        <v>39125.602568829658</v>
      </c>
      <c r="X15" s="34">
        <f t="shared" si="4"/>
        <v>4347.2891743144064</v>
      </c>
      <c r="Y15" s="80">
        <f>IF($H$32=$M15,R15+T15-V15-_xlfn.XLOOKUP(M15*12,'30% Down Amortization'!$A$4:$A$363,'30% Down Amortization'!$E$4:$E$363,0,0,1),0)</f>
        <v>0</v>
      </c>
      <c r="Z15" s="70">
        <f t="shared" si="3"/>
        <v>4347.2891743144064</v>
      </c>
    </row>
    <row r="16" spans="1:26" ht="14.25" customHeight="1">
      <c r="A16" s="10"/>
      <c r="B16" s="43"/>
      <c r="C16" s="43"/>
      <c r="D16" s="44"/>
      <c r="E16" s="45"/>
      <c r="F16" s="43"/>
      <c r="G16" s="43"/>
      <c r="H16" s="43"/>
      <c r="I16" s="43"/>
      <c r="M16" s="30">
        <v>10</v>
      </c>
      <c r="N16" s="34">
        <f t="shared" si="0"/>
        <v>232288.45409278182</v>
      </c>
      <c r="O16" s="35">
        <f t="shared" si="1"/>
        <v>0.17403644767622839</v>
      </c>
      <c r="P16" s="36">
        <f>'With Loan'!$D$38</f>
        <v>133471.15342466856</v>
      </c>
      <c r="Q16" s="37">
        <f>'With Loan'!$H$31</f>
        <v>3.5000000000000003E-2</v>
      </c>
      <c r="R16" s="38">
        <f>'With Loan'!$D$24</f>
        <v>405990</v>
      </c>
      <c r="S16" s="38">
        <f>'With Loan'!$D$40</f>
        <v>284193</v>
      </c>
      <c r="T16" s="39">
        <f t="shared" si="2"/>
        <v>166698.9908245689</v>
      </c>
      <c r="U16" s="39">
        <f>S16-_xlfn.XLOOKUP($M16*12,'30% Down Amortization'!$A$4:$A$363,'30% Down Amortization'!$E$4:$E$363,0,0,1)</f>
        <v>62204.800882788695</v>
      </c>
      <c r="V16" s="39">
        <f>(R16+T16)*'With Loan'!$H$36</f>
        <v>40088.229357719829</v>
      </c>
      <c r="W16" s="36">
        <f>'With Loan'!$I$27*'With Loan'!$M16</f>
        <v>43472.891743144064</v>
      </c>
      <c r="X16" s="34">
        <f t="shared" si="4"/>
        <v>4347.2891743144064</v>
      </c>
      <c r="Y16" s="80">
        <f>IF($H$32=$M16,R16+T16-V16-_xlfn.XLOOKUP(M16*12,'30% Down Amortization'!$A$4:$A$363,'30% Down Amortization'!$E$4:$E$363,0,0,1),0)</f>
        <v>0</v>
      </c>
      <c r="Z16" s="70">
        <f t="shared" si="3"/>
        <v>4347.2891743144064</v>
      </c>
    </row>
    <row r="17" spans="1:27" ht="14.25" customHeight="1">
      <c r="A17" s="10"/>
      <c r="B17" s="43"/>
      <c r="C17" s="43"/>
      <c r="D17" s="44"/>
      <c r="E17" s="45"/>
      <c r="F17" s="43"/>
      <c r="G17" s="43"/>
      <c r="H17" s="43"/>
      <c r="I17" s="43"/>
      <c r="M17" s="30">
        <v>11</v>
      </c>
      <c r="N17" s="34">
        <f t="shared" si="0"/>
        <v>262875.64024413482</v>
      </c>
      <c r="O17" s="35">
        <f t="shared" si="1"/>
        <v>0.17904831765934726</v>
      </c>
      <c r="P17" s="36">
        <f>'With Loan'!$D$38</f>
        <v>133471.15342466856</v>
      </c>
      <c r="Q17" s="37">
        <f>'With Loan'!$H$31</f>
        <v>3.5000000000000003E-2</v>
      </c>
      <c r="R17" s="38">
        <f>'With Loan'!$D$24</f>
        <v>405990</v>
      </c>
      <c r="S17" s="38">
        <f>'With Loan'!$D$40</f>
        <v>284193</v>
      </c>
      <c r="T17" s="39">
        <f t="shared" si="2"/>
        <v>186743.10550342884</v>
      </c>
      <c r="U17" s="39">
        <f>S17-_xlfn.XLOOKUP($M17*12,'30% Down Amortization'!$A$4:$A$363,'30% Down Amortization'!$E$4:$E$363,0,0,1)</f>
        <v>69803.671208487474</v>
      </c>
      <c r="V17" s="39">
        <f>(R17+T17)*'With Loan'!$H$36</f>
        <v>41491.317385240021</v>
      </c>
      <c r="W17" s="36">
        <f>'With Loan'!$I$27*'With Loan'!$M17</f>
        <v>47820.180917458471</v>
      </c>
      <c r="X17" s="34">
        <f t="shared" si="4"/>
        <v>4347.2891743144064</v>
      </c>
      <c r="Y17" s="80">
        <f>IF($H$32=$M17,R17+T17-V17-_xlfn.XLOOKUP(M17*12,'30% Down Amortization'!$A$4:$A$363,'30% Down Amortization'!$E$4:$E$363,0,0,1),0)</f>
        <v>0</v>
      </c>
      <c r="Z17" s="70">
        <f t="shared" si="3"/>
        <v>4347.2891743144064</v>
      </c>
    </row>
    <row r="18" spans="1:27" ht="14.25" customHeight="1">
      <c r="A18" s="10"/>
      <c r="B18" s="43"/>
      <c r="C18" s="43"/>
      <c r="D18" s="44"/>
      <c r="E18" s="45"/>
      <c r="F18" s="43"/>
      <c r="G18" s="43"/>
      <c r="H18" s="43"/>
      <c r="I18" s="43"/>
      <c r="M18" s="30">
        <v>12</v>
      </c>
      <c r="N18" s="34">
        <f t="shared" si="0"/>
        <v>294405.16905321315</v>
      </c>
      <c r="O18" s="35">
        <f t="shared" si="1"/>
        <v>0.18381323198510213</v>
      </c>
      <c r="P18" s="36">
        <f>'With Loan'!$D$38</f>
        <v>133471.15342466856</v>
      </c>
      <c r="Q18" s="37">
        <f>'With Loan'!$H$31</f>
        <v>3.5000000000000003E-2</v>
      </c>
      <c r="R18" s="38">
        <f>'With Loan'!$D$24</f>
        <v>405990</v>
      </c>
      <c r="S18" s="38">
        <f>'With Loan'!$D$40</f>
        <v>284193</v>
      </c>
      <c r="T18" s="39">
        <f t="shared" si="2"/>
        <v>207488.76419604884</v>
      </c>
      <c r="U18" s="39">
        <f>S18-_xlfn.XLOOKUP($M18*12,'30% Down Amortization'!$A$4:$A$363,'30% Down Amortization'!$E$4:$E$363,0,0,1)</f>
        <v>77692.448259114812</v>
      </c>
      <c r="V18" s="39">
        <f>(R18+T18)*'With Loan'!$H$36</f>
        <v>42943.513493723425</v>
      </c>
      <c r="W18" s="36">
        <f>'With Loan'!$I$27*'With Loan'!$M18</f>
        <v>52167.470091772877</v>
      </c>
      <c r="X18" s="34">
        <f t="shared" si="4"/>
        <v>4347.2891743144064</v>
      </c>
      <c r="Y18" s="80">
        <f>IF($H$32=$M18,R18+T18-V18-_xlfn.XLOOKUP(M18*12,'30% Down Amortization'!$A$4:$A$363,'30% Down Amortization'!$E$4:$E$363,0,0,1),0)</f>
        <v>0</v>
      </c>
      <c r="Z18" s="70">
        <f t="shared" si="3"/>
        <v>4347.2891743144064</v>
      </c>
    </row>
    <row r="19" spans="1:27" ht="14.25" customHeight="1">
      <c r="A19" s="10"/>
      <c r="B19" s="43"/>
      <c r="C19" s="43"/>
      <c r="D19" s="44"/>
      <c r="E19" s="45"/>
      <c r="F19" s="43"/>
      <c r="G19" s="43"/>
      <c r="H19" s="43"/>
      <c r="I19" s="43"/>
      <c r="M19" s="30">
        <v>13</v>
      </c>
      <c r="N19" s="34">
        <f t="shared" si="0"/>
        <v>326910.93609394273</v>
      </c>
      <c r="O19" s="35">
        <f t="shared" si="1"/>
        <v>0.18840771536706966</v>
      </c>
      <c r="P19" s="36">
        <f>'With Loan'!$D$38</f>
        <v>133471.15342466856</v>
      </c>
      <c r="Q19" s="37">
        <f>'With Loan'!$H$31</f>
        <v>3.5000000000000003E-2</v>
      </c>
      <c r="R19" s="38">
        <f>'With Loan'!$D$24</f>
        <v>405990</v>
      </c>
      <c r="S19" s="38">
        <f>'With Loan'!$D$40</f>
        <v>284193</v>
      </c>
      <c r="T19" s="39">
        <f t="shared" si="2"/>
        <v>228960.52094291034</v>
      </c>
      <c r="U19" s="39">
        <f>S19-_xlfn.XLOOKUP($M19*12,'30% Down Amortization'!$A$4:$A$363,'30% Down Amortization'!$E$4:$E$363,0,0,1)</f>
        <v>85882.192350948841</v>
      </c>
      <c r="V19" s="39">
        <f>(R19+T19)*'With Loan'!$H$36</f>
        <v>44446.53646600373</v>
      </c>
      <c r="W19" s="36">
        <f>'With Loan'!$I$27*'With Loan'!$M19</f>
        <v>56514.759266087283</v>
      </c>
      <c r="X19" s="34">
        <f t="shared" si="4"/>
        <v>4347.2891743144064</v>
      </c>
      <c r="Y19" s="80">
        <f>IF($H$32=$M19,R19+T19-V19-_xlfn.XLOOKUP(M19*12,'30% Down Amortization'!$A$4:$A$363,'30% Down Amortization'!$E$4:$E$363,0,0,1),0)</f>
        <v>0</v>
      </c>
      <c r="Z19" s="70">
        <f t="shared" si="3"/>
        <v>4347.2891743144064</v>
      </c>
    </row>
    <row r="20" spans="1:27" ht="14.25" customHeight="1">
      <c r="A20" s="10"/>
      <c r="B20" s="43"/>
      <c r="C20" s="43"/>
      <c r="D20" s="44"/>
      <c r="E20" s="45"/>
      <c r="F20" s="43"/>
      <c r="G20" s="43"/>
      <c r="H20" s="43"/>
      <c r="I20" s="43"/>
      <c r="M20" s="30">
        <v>14</v>
      </c>
      <c r="N20" s="34">
        <f t="shared" si="0"/>
        <v>360428.05813963001</v>
      </c>
      <c r="O20" s="35">
        <f t="shared" si="1"/>
        <v>0.19288708185337081</v>
      </c>
      <c r="P20" s="36">
        <f>'With Loan'!$D$38</f>
        <v>133471.15342466856</v>
      </c>
      <c r="Q20" s="37">
        <f>'With Loan'!$H$31</f>
        <v>3.5000000000000003E-2</v>
      </c>
      <c r="R20" s="38">
        <f>'With Loan'!$D$24</f>
        <v>405990</v>
      </c>
      <c r="S20" s="38">
        <f>'With Loan'!$D$40</f>
        <v>284193</v>
      </c>
      <c r="T20" s="39">
        <f t="shared" si="2"/>
        <v>251183.78917591239</v>
      </c>
      <c r="U20" s="39">
        <f>S20-_xlfn.XLOOKUP($M20*12,'30% Down Amortization'!$A$4:$A$363,'30% Down Amortization'!$E$4:$E$363,0,0,1)</f>
        <v>94384.38576562985</v>
      </c>
      <c r="V20" s="39">
        <f>(R20+T20)*'With Loan'!$H$36</f>
        <v>46002.165242313873</v>
      </c>
      <c r="W20" s="36">
        <f>'With Loan'!$I$27*'With Loan'!$M20</f>
        <v>60862.04844040169</v>
      </c>
      <c r="X20" s="34">
        <f t="shared" si="4"/>
        <v>4347.2891743144064</v>
      </c>
      <c r="Y20" s="80">
        <f>IF($H$32=$M20,R20+T20-V20-_xlfn.XLOOKUP(M20*12,'30% Down Amortization'!$A$4:$A$363,'30% Down Amortization'!$E$4:$E$363,0,0,1),0)</f>
        <v>0</v>
      </c>
      <c r="Z20" s="70">
        <f t="shared" si="3"/>
        <v>4347.2891743144064</v>
      </c>
    </row>
    <row r="21" spans="1:27" ht="14.25" customHeight="1">
      <c r="A21" s="10"/>
      <c r="B21" s="43"/>
      <c r="C21" s="43"/>
      <c r="D21" s="44"/>
      <c r="E21" s="45"/>
      <c r="F21" s="43"/>
      <c r="G21" s="43"/>
      <c r="H21" s="43"/>
      <c r="I21" s="43"/>
      <c r="M21" s="40">
        <v>15</v>
      </c>
      <c r="N21" s="34">
        <f t="shared" si="0"/>
        <v>394992.91723467468</v>
      </c>
      <c r="O21" s="35">
        <f t="shared" si="1"/>
        <v>0.19729252706159192</v>
      </c>
      <c r="P21" s="36">
        <f>'With Loan'!$D$38</f>
        <v>133471.15342466856</v>
      </c>
      <c r="Q21" s="37">
        <f>'With Loan'!$H$31</f>
        <v>3.5000000000000003E-2</v>
      </c>
      <c r="R21" s="38">
        <f>'With Loan'!$D$24</f>
        <v>405990</v>
      </c>
      <c r="S21" s="38">
        <f>'With Loan'!$D$40</f>
        <v>284193</v>
      </c>
      <c r="T21" s="41">
        <f t="shared" si="2"/>
        <v>274184.87179706921</v>
      </c>
      <c r="U21" s="41">
        <f>S21-_xlfn.XLOOKUP($M21*12,'30% Down Amortization'!$A$4:$A$363,'30% Down Amortization'!$E$4:$E$363,0,0,1)</f>
        <v>103210.94884868429</v>
      </c>
      <c r="V21" s="39">
        <f>(R21+T21)*'With Loan'!$H$36</f>
        <v>47612.24102579485</v>
      </c>
      <c r="W21" s="36">
        <f>'With Loan'!$I$27*'With Loan'!$M21</f>
        <v>65209.337614716096</v>
      </c>
      <c r="X21" s="34">
        <f t="shared" si="4"/>
        <v>4347.2891743144064</v>
      </c>
      <c r="Y21" s="80">
        <f>IF($H$32=$M21,R21+T21-V21-_xlfn.XLOOKUP(M21*12,'30% Down Amortization'!$A$4:$A$363,'30% Down Amortization'!$E$4:$E$363,0,0,1),0)</f>
        <v>451580.57961995865</v>
      </c>
      <c r="Z21" s="70">
        <f t="shared" si="3"/>
        <v>455927.86879427306</v>
      </c>
      <c r="AA21" s="86"/>
    </row>
    <row r="22" spans="1:27" ht="14.25" customHeight="1">
      <c r="A22" s="10"/>
      <c r="B22" s="43"/>
      <c r="C22" s="43"/>
      <c r="D22" s="44"/>
      <c r="E22" s="45"/>
      <c r="F22" s="43"/>
      <c r="G22" s="43"/>
      <c r="H22" s="43"/>
      <c r="I22" s="43"/>
      <c r="M22" s="30">
        <v>16</v>
      </c>
      <c r="N22" s="34">
        <f t="shared" si="0"/>
        <v>430643.20635952742</v>
      </c>
      <c r="O22" s="35">
        <f t="shared" si="1"/>
        <v>0.201655561571673</v>
      </c>
      <c r="P22" s="36">
        <f>'With Loan'!$D$38</f>
        <v>133471.15342466856</v>
      </c>
      <c r="Q22" s="37">
        <f>'With Loan'!$H$31</f>
        <v>3.5000000000000003E-2</v>
      </c>
      <c r="R22" s="38">
        <f>'With Loan'!$D$24</f>
        <v>405990</v>
      </c>
      <c r="S22" s="38">
        <f>'With Loan'!$D$40</f>
        <v>284193</v>
      </c>
      <c r="T22" s="39">
        <f t="shared" si="2"/>
        <v>297990.99230996647</v>
      </c>
      <c r="U22" s="39">
        <f>S22-_xlfn.XLOOKUP($M22*12,'30% Down Amortization'!$A$4:$A$363,'30% Down Amortization'!$E$4:$E$363,0,0,1)</f>
        <v>112374.25672222808</v>
      </c>
      <c r="V22" s="39">
        <f>(R22+T22)*'With Loan'!$H$36</f>
        <v>49278.66946169766</v>
      </c>
      <c r="W22" s="36">
        <f>'With Loan'!$I$27*'With Loan'!$M22</f>
        <v>69556.626789030503</v>
      </c>
      <c r="X22" s="34">
        <f t="shared" si="4"/>
        <v>4347.2891743144064</v>
      </c>
      <c r="Y22" s="80">
        <f>IF($H$32=$M22,R22+T22-V22-_xlfn.XLOOKUP(M22*12,'30% Down Amortization'!$A$4:$A$363,'30% Down Amortization'!$E$4:$E$363,0,0,1),0)</f>
        <v>0</v>
      </c>
      <c r="Z22" s="70">
        <f t="shared" si="3"/>
        <v>0</v>
      </c>
    </row>
    <row r="23" spans="1:27" ht="17.25">
      <c r="A23" s="10"/>
      <c r="B23" s="46" t="s">
        <v>13</v>
      </c>
      <c r="C23" s="46"/>
      <c r="D23" s="47"/>
      <c r="E23" s="48"/>
      <c r="F23" s="49"/>
      <c r="G23" s="46" t="s">
        <v>47</v>
      </c>
      <c r="H23" s="48" t="s">
        <v>50</v>
      </c>
      <c r="I23" s="48" t="s">
        <v>51</v>
      </c>
      <c r="M23" s="30">
        <v>17</v>
      </c>
      <c r="N23" s="34">
        <f t="shared" si="0"/>
        <v>467417.97674658481</v>
      </c>
      <c r="O23" s="35">
        <f t="shared" si="1"/>
        <v>0.20600088031949634</v>
      </c>
      <c r="P23" s="36">
        <f>'With Loan'!$D$38</f>
        <v>133471.15342466856</v>
      </c>
      <c r="Q23" s="37">
        <f>'With Loan'!$H$31</f>
        <v>3.5000000000000003E-2</v>
      </c>
      <c r="R23" s="38">
        <f>'With Loan'!$D$24</f>
        <v>405990</v>
      </c>
      <c r="S23" s="38">
        <f>'With Loan'!$D$40</f>
        <v>284193</v>
      </c>
      <c r="T23" s="39">
        <f t="shared" si="2"/>
        <v>322630.32704081526</v>
      </c>
      <c r="U23" s="39">
        <f>S23-_xlfn.XLOOKUP($M23*12,'30% Down Amortization'!$A$4:$A$363,'30% Down Amortization'!$E$4:$E$363,0,0,1)</f>
        <v>121887.15663528166</v>
      </c>
      <c r="V23" s="39">
        <f>(R23+T23)*'With Loan'!$H$36</f>
        <v>51003.422892857074</v>
      </c>
      <c r="W23" s="36">
        <f>'With Loan'!$I$27*'With Loan'!$M23</f>
        <v>73903.915963344916</v>
      </c>
      <c r="X23" s="34">
        <f t="shared" si="4"/>
        <v>4347.2891743144064</v>
      </c>
      <c r="Y23" s="80">
        <f>IF($H$32=$M23,R23+T23-V23-_xlfn.XLOOKUP(M23*12,'30% Down Amortization'!$A$4:$A$363,'30% Down Amortization'!$E$4:$E$363,0,0,1),0)</f>
        <v>0</v>
      </c>
      <c r="Z23" s="70">
        <f t="shared" si="3"/>
        <v>0</v>
      </c>
    </row>
    <row r="24" spans="1:27">
      <c r="A24" s="10"/>
      <c r="B24" s="56" t="s">
        <v>32</v>
      </c>
      <c r="C24" s="56"/>
      <c r="D24" s="61">
        <f>D34</f>
        <v>405990</v>
      </c>
      <c r="E24" s="45"/>
      <c r="F24" s="43"/>
      <c r="G24" s="44" t="s">
        <v>52</v>
      </c>
      <c r="H24" s="50">
        <f>Summary!D11</f>
        <v>1450</v>
      </c>
      <c r="I24" s="53">
        <f>H24*12</f>
        <v>17400</v>
      </c>
      <c r="M24" s="30">
        <v>18</v>
      </c>
      <c r="N24" s="34">
        <f t="shared" si="0"/>
        <v>505357.68690681725</v>
      </c>
      <c r="O24" s="35">
        <f t="shared" si="1"/>
        <v>0.21034827623801552</v>
      </c>
      <c r="P24" s="36">
        <f>'With Loan'!$D$38</f>
        <v>133471.15342466856</v>
      </c>
      <c r="Q24" s="37">
        <f>'With Loan'!$H$31</f>
        <v>3.5000000000000003E-2</v>
      </c>
      <c r="R24" s="38">
        <f>'With Loan'!$D$24</f>
        <v>405990</v>
      </c>
      <c r="S24" s="38">
        <f>'With Loan'!$D$40</f>
        <v>284193</v>
      </c>
      <c r="T24" s="39">
        <f t="shared" si="2"/>
        <v>348132.0384872437</v>
      </c>
      <c r="U24" s="39">
        <f>S24-_xlfn.XLOOKUP($M24*12,'30% Down Amortization'!$A$4:$A$363,'30% Down Amortization'!$E$4:$E$363,0,0,1)</f>
        <v>131762.98597602133</v>
      </c>
      <c r="V24" s="39">
        <f>(R24+T24)*'With Loan'!$H$36</f>
        <v>52788.542694107062</v>
      </c>
      <c r="W24" s="36">
        <f>'With Loan'!$I$27*'With Loan'!$M24</f>
        <v>78251.205137659315</v>
      </c>
      <c r="X24" s="34">
        <f t="shared" si="4"/>
        <v>4347.2891743144064</v>
      </c>
      <c r="Y24" s="80">
        <f>IF($H$32=$M24,R24+T24-V24-_xlfn.XLOOKUP(M24*12,'30% Down Amortization'!$A$4:$A$363,'30% Down Amortization'!$E$4:$E$363,0,0,1),0)</f>
        <v>0</v>
      </c>
      <c r="Z24" s="70">
        <f t="shared" si="3"/>
        <v>0</v>
      </c>
    </row>
    <row r="25" spans="1:27">
      <c r="A25" s="10"/>
      <c r="B25" s="56" t="s">
        <v>15</v>
      </c>
      <c r="C25" s="56"/>
      <c r="D25" s="61">
        <f>I25</f>
        <v>34800</v>
      </c>
      <c r="E25" s="45"/>
      <c r="F25" s="43"/>
      <c r="G25" s="44" t="s">
        <v>53</v>
      </c>
      <c r="H25" s="50">
        <f>H24*2</f>
        <v>2900</v>
      </c>
      <c r="I25" s="53">
        <f t="shared" ref="I25" si="5">H25*12</f>
        <v>34800</v>
      </c>
      <c r="M25" s="30">
        <v>19</v>
      </c>
      <c r="N25" s="34">
        <f t="shared" si="0"/>
        <v>544504.25342909177</v>
      </c>
      <c r="O25" s="35">
        <f t="shared" si="1"/>
        <v>0.21471395028968454</v>
      </c>
      <c r="P25" s="36">
        <f>'With Loan'!$D$38</f>
        <v>133471.15342466856</v>
      </c>
      <c r="Q25" s="37">
        <f>'With Loan'!$H$31</f>
        <v>3.5000000000000003E-2</v>
      </c>
      <c r="R25" s="38">
        <f>'With Loan'!$D$24</f>
        <v>405990</v>
      </c>
      <c r="S25" s="38">
        <f>'With Loan'!$D$40</f>
        <v>284193</v>
      </c>
      <c r="T25" s="39">
        <f t="shared" si="2"/>
        <v>374526.30983429716</v>
      </c>
      <c r="U25" s="39">
        <f>S25-_xlfn.XLOOKUP($M25*12,'30% Down Amortization'!$A$4:$A$363,'30% Down Amortization'!$E$4:$E$363,0,0,1)</f>
        <v>142015.59097122165</v>
      </c>
      <c r="V25" s="39">
        <f>(R25+T25)*'With Loan'!$H$36</f>
        <v>54636.141688400807</v>
      </c>
      <c r="W25" s="36">
        <f>'With Loan'!$I$27*'With Loan'!$M25</f>
        <v>82598.494311973715</v>
      </c>
      <c r="X25" s="34">
        <f t="shared" si="4"/>
        <v>4347.2891743144064</v>
      </c>
      <c r="Y25" s="80">
        <f>IF($H$32=$M25,R25+T25-V25-_xlfn.XLOOKUP(M25*12,'30% Down Amortization'!$A$4:$A$363,'30% Down Amortization'!$E$4:$E$363,0,0,1),0)</f>
        <v>0</v>
      </c>
      <c r="Z25" s="70">
        <f t="shared" si="3"/>
        <v>0</v>
      </c>
    </row>
    <row r="26" spans="1:27">
      <c r="A26" s="10"/>
      <c r="B26" s="56" t="s">
        <v>42</v>
      </c>
      <c r="C26" s="56"/>
      <c r="D26" s="61">
        <f>D38</f>
        <v>133471.15342466856</v>
      </c>
      <c r="E26" s="45"/>
      <c r="F26" s="43"/>
      <c r="G26" s="44" t="s">
        <v>54</v>
      </c>
      <c r="H26" s="50">
        <f>D55</f>
        <v>2537.7259021404666</v>
      </c>
      <c r="I26" s="53">
        <f>E55</f>
        <v>30452.710825685594</v>
      </c>
      <c r="M26" s="30">
        <v>20</v>
      </c>
      <c r="N26" s="34">
        <f t="shared" si="0"/>
        <v>584901.10361639655</v>
      </c>
      <c r="O26" s="35">
        <f t="shared" si="1"/>
        <v>0.21911142917728516</v>
      </c>
      <c r="P26" s="36">
        <f>'With Loan'!$D$38</f>
        <v>133471.15342466856</v>
      </c>
      <c r="Q26" s="37">
        <f>'With Loan'!$H$31</f>
        <v>3.5000000000000003E-2</v>
      </c>
      <c r="R26" s="38">
        <f>'With Loan'!$D$24</f>
        <v>405990</v>
      </c>
      <c r="S26" s="38">
        <f>'With Loan'!$D$40</f>
        <v>284193</v>
      </c>
      <c r="T26" s="39">
        <f t="shared" si="2"/>
        <v>401844.38067849749</v>
      </c>
      <c r="U26" s="39">
        <f>S26-_xlfn.XLOOKUP($M26*12,'30% Down Amortization'!$A$4:$A$363,'30% Down Amortization'!$E$4:$E$363,0,0,1)</f>
        <v>152659.34609910578</v>
      </c>
      <c r="V26" s="39">
        <f>(R26+T26)*'With Loan'!$H$36</f>
        <v>56548.406647494827</v>
      </c>
      <c r="W26" s="36">
        <f>'With Loan'!$I$27*'With Loan'!$M26</f>
        <v>86945.783486288128</v>
      </c>
      <c r="X26" s="34">
        <f t="shared" si="4"/>
        <v>4347.2891743144064</v>
      </c>
      <c r="Y26" s="80">
        <f>IF($H$32=$M26,R26+T26-V26-_xlfn.XLOOKUP(M26*12,'30% Down Amortization'!$A$4:$A$363,'30% Down Amortization'!$E$4:$E$363,0,0,1),0)</f>
        <v>0</v>
      </c>
      <c r="Z26" s="70">
        <f t="shared" si="3"/>
        <v>0</v>
      </c>
    </row>
    <row r="27" spans="1:27">
      <c r="A27" s="10"/>
      <c r="B27" s="56" t="s">
        <v>55</v>
      </c>
      <c r="C27" s="56"/>
      <c r="D27" s="61">
        <f>H27</f>
        <v>362.27409785953341</v>
      </c>
      <c r="E27" s="45"/>
      <c r="F27" s="43"/>
      <c r="G27" s="56" t="s">
        <v>82</v>
      </c>
      <c r="H27" s="58">
        <f>H25-H26</f>
        <v>362.27409785953341</v>
      </c>
      <c r="I27" s="59">
        <f>I25-I26</f>
        <v>4347.2891743144064</v>
      </c>
      <c r="M27" s="30">
        <v>21</v>
      </c>
      <c r="N27" s="34">
        <f t="shared" si="0"/>
        <v>626593.23002551135</v>
      </c>
      <c r="O27" s="35">
        <f t="shared" si="1"/>
        <v>0.2235522215307609</v>
      </c>
      <c r="P27" s="36">
        <f>'With Loan'!$D$38</f>
        <v>133471.15342466856</v>
      </c>
      <c r="Q27" s="37">
        <f>'With Loan'!$H$31</f>
        <v>3.5000000000000003E-2</v>
      </c>
      <c r="R27" s="38">
        <f>'With Loan'!$D$24</f>
        <v>405990</v>
      </c>
      <c r="S27" s="38">
        <f>'With Loan'!$D$40</f>
        <v>284193</v>
      </c>
      <c r="T27" s="39">
        <f t="shared" si="2"/>
        <v>430118.58400224475</v>
      </c>
      <c r="U27" s="39">
        <f>S27-_xlfn.XLOOKUP($M27*12,'30% Down Amortization'!$A$4:$A$363,'30% Down Amortization'!$E$4:$E$363,0,0,1)</f>
        <v>163709.17424282117</v>
      </c>
      <c r="V27" s="39">
        <f>(R27+T27)*'With Loan'!$H$36</f>
        <v>58527.600880157137</v>
      </c>
      <c r="W27" s="36">
        <f>'With Loan'!$I$27*'With Loan'!$M27</f>
        <v>91293.072660602542</v>
      </c>
      <c r="X27" s="34">
        <f t="shared" si="4"/>
        <v>4347.2891743144064</v>
      </c>
      <c r="Y27" s="80">
        <f>IF($H$32=$M27,R27+T27-V27-_xlfn.XLOOKUP(M27*12,'30% Down Amortization'!$A$4:$A$363,'30% Down Amortization'!$E$4:$E$363,0,0,1),0)</f>
        <v>0</v>
      </c>
      <c r="Z27" s="70">
        <f t="shared" si="3"/>
        <v>0</v>
      </c>
    </row>
    <row r="28" spans="1:27">
      <c r="A28" s="10"/>
      <c r="B28" s="56" t="s">
        <v>57</v>
      </c>
      <c r="C28" s="56"/>
      <c r="D28" s="61">
        <f>H28</f>
        <v>536.27409785953341</v>
      </c>
      <c r="E28" s="45"/>
      <c r="F28" s="43"/>
      <c r="G28" s="56" t="s">
        <v>83</v>
      </c>
      <c r="H28" s="58">
        <f>H25-H26+D53+D54</f>
        <v>536.27409785953341</v>
      </c>
      <c r="I28" s="58">
        <f>I25-I26+E53+E54</f>
        <v>6435.2891743144064</v>
      </c>
      <c r="M28" s="30">
        <v>22</v>
      </c>
      <c r="N28" s="34">
        <f t="shared" si="0"/>
        <v>669627.2469790735</v>
      </c>
      <c r="O28" s="35">
        <f t="shared" si="1"/>
        <v>0.22804629580571872</v>
      </c>
      <c r="P28" s="36">
        <f>'With Loan'!$D$38</f>
        <v>133471.15342466856</v>
      </c>
      <c r="Q28" s="37">
        <f>'With Loan'!$H$31</f>
        <v>3.5000000000000003E-2</v>
      </c>
      <c r="R28" s="38">
        <f>'With Loan'!$D$24</f>
        <v>405990</v>
      </c>
      <c r="S28" s="38">
        <f>'With Loan'!$D$40</f>
        <v>284193</v>
      </c>
      <c r="T28" s="39">
        <f t="shared" si="2"/>
        <v>459382.38444232335</v>
      </c>
      <c r="U28" s="39">
        <f>S28-_xlfn.XLOOKUP($M28*12,'30% Down Amortization'!$A$4:$A$363,'30% Down Amortization'!$E$4:$E$363,0,0,1)</f>
        <v>175180.5676127958</v>
      </c>
      <c r="V28" s="39">
        <f>(R28+T28)*'With Loan'!$H$36</f>
        <v>60576.06691096264</v>
      </c>
      <c r="W28" s="36">
        <f>'With Loan'!$I$27*'With Loan'!$M28</f>
        <v>95640.361834916941</v>
      </c>
      <c r="X28" s="34">
        <f t="shared" si="4"/>
        <v>4347.2891743144064</v>
      </c>
      <c r="Y28" s="80">
        <f>IF($H$32=$M28,R28+T28-V28-_xlfn.XLOOKUP(M28*12,'30% Down Amortization'!$A$4:$A$363,'30% Down Amortization'!$E$4:$E$363,0,0,1),0)</f>
        <v>0</v>
      </c>
      <c r="Z28" s="70">
        <f t="shared" si="3"/>
        <v>0</v>
      </c>
    </row>
    <row r="29" spans="1:27">
      <c r="A29" s="10"/>
      <c r="B29" s="56" t="s">
        <v>40</v>
      </c>
      <c r="C29" s="56"/>
      <c r="D29" s="61">
        <f>H39</f>
        <v>394992.91723467468</v>
      </c>
      <c r="E29" s="45"/>
      <c r="F29" s="43"/>
      <c r="G29" s="10"/>
      <c r="H29" s="10"/>
      <c r="I29" s="10"/>
      <c r="M29" s="30">
        <v>23</v>
      </c>
      <c r="N29" s="34">
        <f t="shared" si="0"/>
        <v>714051.4491214999</v>
      </c>
      <c r="O29" s="35">
        <f t="shared" si="1"/>
        <v>0.23260243417854271</v>
      </c>
      <c r="P29" s="36">
        <f>'With Loan'!$D$38</f>
        <v>133471.15342466856</v>
      </c>
      <c r="Q29" s="37">
        <f>'With Loan'!$H$31</f>
        <v>3.5000000000000003E-2</v>
      </c>
      <c r="R29" s="38">
        <f>'With Loan'!$D$24</f>
        <v>405990</v>
      </c>
      <c r="S29" s="38">
        <f>'With Loan'!$D$40</f>
        <v>284193</v>
      </c>
      <c r="T29" s="39">
        <f t="shared" si="2"/>
        <v>489670.41789780464</v>
      </c>
      <c r="U29" s="39">
        <f>S29-_xlfn.XLOOKUP($M29*12,'30% Down Amortization'!$A$4:$A$363,'30% Down Amortization'!$E$4:$E$363,0,0,1)</f>
        <v>187089.60946731022</v>
      </c>
      <c r="V29" s="39">
        <f>(R29+T29)*'With Loan'!$H$36</f>
        <v>62696.229252846329</v>
      </c>
      <c r="W29" s="36">
        <f>'With Loan'!$I$27*'With Loan'!$M29</f>
        <v>99987.65100923134</v>
      </c>
      <c r="X29" s="34">
        <f t="shared" si="4"/>
        <v>4347.2891743144064</v>
      </c>
      <c r="Y29" s="80">
        <f>IF($H$32=$M29,R29+T29-V29-_xlfn.XLOOKUP(M29*12,'30% Down Amortization'!$A$4:$A$363,'30% Down Amortization'!$E$4:$E$363,0,0,1),0)</f>
        <v>0</v>
      </c>
      <c r="Z29" s="70">
        <f t="shared" si="3"/>
        <v>0</v>
      </c>
    </row>
    <row r="30" spans="1:27" ht="17.25">
      <c r="A30" s="10"/>
      <c r="B30" s="56" t="s">
        <v>59</v>
      </c>
      <c r="C30" s="56"/>
      <c r="D30" s="57">
        <f>H43</f>
        <v>0.19729252706159192</v>
      </c>
      <c r="E30" s="45"/>
      <c r="F30" s="43"/>
      <c r="G30" s="46" t="s">
        <v>41</v>
      </c>
      <c r="H30" s="48"/>
      <c r="I30" s="48"/>
      <c r="M30" s="30">
        <v>24</v>
      </c>
      <c r="N30" s="34">
        <f t="shared" si="0"/>
        <v>759915.87209281442</v>
      </c>
      <c r="O30" s="35">
        <f t="shared" si="1"/>
        <v>0.23722849862889187</v>
      </c>
      <c r="P30" s="36">
        <f>'With Loan'!$D$38</f>
        <v>133471.15342466856</v>
      </c>
      <c r="Q30" s="37">
        <f>'With Loan'!$H$31</f>
        <v>3.5000000000000003E-2</v>
      </c>
      <c r="R30" s="38">
        <f>'With Loan'!$D$24</f>
        <v>405990</v>
      </c>
      <c r="S30" s="38">
        <f>'With Loan'!$D$40</f>
        <v>284193</v>
      </c>
      <c r="T30" s="39">
        <f t="shared" si="2"/>
        <v>521018.53252422763</v>
      </c>
      <c r="U30" s="39">
        <f>S30-_xlfn.XLOOKUP($M30*12,'30% Down Amortization'!$A$4:$A$363,'30% Down Amortization'!$E$4:$E$363,0,0,1)</f>
        <v>199452.99666173698</v>
      </c>
      <c r="V30" s="39">
        <f>(R30+T30)*'With Loan'!$H$36</f>
        <v>64890.597276695938</v>
      </c>
      <c r="W30" s="36">
        <f>'With Loan'!$I$27*'With Loan'!$M30</f>
        <v>104334.94018354575</v>
      </c>
      <c r="X30" s="34">
        <f t="shared" si="4"/>
        <v>4347.2891743144064</v>
      </c>
      <c r="Y30" s="80">
        <f>IF($H$32=$M30,R30+T30-V30-_xlfn.XLOOKUP(M30*12,'30% Down Amortization'!$A$4:$A$363,'30% Down Amortization'!$E$4:$E$363,0,0,1),0)</f>
        <v>0</v>
      </c>
      <c r="Z30" s="70">
        <f t="shared" si="3"/>
        <v>0</v>
      </c>
    </row>
    <row r="31" spans="1:27">
      <c r="A31" s="10"/>
      <c r="B31" s="56" t="s">
        <v>26</v>
      </c>
      <c r="D31" s="57">
        <f>H44</f>
        <v>0.1047858167925213</v>
      </c>
      <c r="F31" s="43"/>
      <c r="G31" s="44" t="s">
        <v>10</v>
      </c>
      <c r="H31" s="62">
        <f>Summary!D12</f>
        <v>3.5000000000000003E-2</v>
      </c>
      <c r="I31" s="45"/>
      <c r="M31" s="30">
        <v>25</v>
      </c>
      <c r="N31" s="34">
        <f t="shared" si="0"/>
        <v>807272.35539711826</v>
      </c>
      <c r="O31" s="35">
        <f t="shared" si="1"/>
        <v>0.24193163382011071</v>
      </c>
      <c r="P31" s="36">
        <f>'With Loan'!$D$38</f>
        <v>133471.15342466856</v>
      </c>
      <c r="Q31" s="37">
        <f>'With Loan'!$H$31</f>
        <v>3.5000000000000003E-2</v>
      </c>
      <c r="R31" s="38">
        <f>'With Loan'!$D$24</f>
        <v>405990</v>
      </c>
      <c r="S31" s="38">
        <f>'With Loan'!$D$40</f>
        <v>284193</v>
      </c>
      <c r="T31" s="39">
        <f t="shared" si="2"/>
        <v>553463.83116257552</v>
      </c>
      <c r="U31" s="39">
        <f>S31-_xlfn.XLOOKUP($M31*12,'30% Down Amortization'!$A$4:$A$363,'30% Down Amortization'!$E$4:$E$363,0,0,1)</f>
        <v>212288.06305806281</v>
      </c>
      <c r="V31" s="39">
        <f>(R31+T31)*'With Loan'!$H$36</f>
        <v>67161.768181380292</v>
      </c>
      <c r="W31" s="36">
        <f>'With Loan'!$I$27*'With Loan'!$M31</f>
        <v>108682.22935786017</v>
      </c>
      <c r="X31" s="34">
        <f t="shared" si="4"/>
        <v>4347.2891743144064</v>
      </c>
      <c r="Y31" s="80">
        <f>IF($H$32=$M31,R31+T31-V31-_xlfn.XLOOKUP(M31*12,'30% Down Amortization'!$A$4:$A$363,'30% Down Amortization'!$E$4:$E$363,0,0,1),0)</f>
        <v>0</v>
      </c>
      <c r="Z31" s="70">
        <f t="shared" si="3"/>
        <v>0</v>
      </c>
    </row>
    <row r="32" spans="1:27">
      <c r="A32" s="10"/>
      <c r="B32" s="56" t="s">
        <v>60</v>
      </c>
      <c r="C32" s="56"/>
      <c r="D32" s="57">
        <f>H45</f>
        <v>4.9609582236491867E-2</v>
      </c>
      <c r="E32" s="45"/>
      <c r="F32" s="43"/>
      <c r="G32" s="44" t="s">
        <v>61</v>
      </c>
      <c r="H32" s="79">
        <f>Summary!D13</f>
        <v>15</v>
      </c>
      <c r="I32" s="45"/>
      <c r="M32" s="30">
        <v>26</v>
      </c>
      <c r="N32" s="34">
        <f t="shared" si="0"/>
        <v>856174.60754522576</v>
      </c>
      <c r="O32" s="35">
        <f t="shared" si="1"/>
        <v>0.24671842381641629</v>
      </c>
      <c r="P32" s="36">
        <f>'With Loan'!$D$38</f>
        <v>133471.15342466856</v>
      </c>
      <c r="Q32" s="37">
        <f>'With Loan'!$H$31</f>
        <v>3.5000000000000003E-2</v>
      </c>
      <c r="R32" s="38">
        <f>'With Loan'!$D$24</f>
        <v>405990</v>
      </c>
      <c r="S32" s="38">
        <f>'With Loan'!$D$40</f>
        <v>284193</v>
      </c>
      <c r="T32" s="39">
        <f t="shared" si="2"/>
        <v>587044.71525326557</v>
      </c>
      <c r="U32" s="39">
        <f>S32-_xlfn.XLOOKUP($M32*12,'30% Down Amortization'!$A$4:$A$363,'30% Down Amortization'!$E$4:$E$363,0,0,1)</f>
        <v>225612.80382751426</v>
      </c>
      <c r="V32" s="39">
        <f>(R32+T32)*'With Loan'!$H$36</f>
        <v>69512.430067728594</v>
      </c>
      <c r="W32" s="36">
        <f>'With Loan'!$I$27*'With Loan'!$M32</f>
        <v>113029.51853217457</v>
      </c>
      <c r="X32" s="34">
        <f t="shared" si="4"/>
        <v>4347.2891743144064</v>
      </c>
      <c r="Y32" s="80">
        <f>IF($H$32=$M32,R32+T32-V32-_xlfn.XLOOKUP(M32*12,'30% Down Amortization'!$A$4:$A$363,'30% Down Amortization'!$E$4:$E$363,0,0,1),0)</f>
        <v>0</v>
      </c>
      <c r="Z32" s="70">
        <f t="shared" si="3"/>
        <v>0</v>
      </c>
    </row>
    <row r="33" spans="1:26" ht="17.25">
      <c r="A33" s="10"/>
      <c r="B33" s="46" t="s">
        <v>62</v>
      </c>
      <c r="C33" s="46"/>
      <c r="D33" s="47"/>
      <c r="E33" s="48"/>
      <c r="F33" s="43"/>
      <c r="G33" s="56" t="str">
        <f>CONCATENATE("Appreciation After ",H32," Years")</f>
        <v>Appreciation After 15 Years</v>
      </c>
      <c r="H33" s="58">
        <f>$D$34*(1+H31)^H32-$D$34</f>
        <v>274184.87179706921</v>
      </c>
      <c r="I33" s="45" t="s">
        <v>65</v>
      </c>
      <c r="M33" s="30">
        <v>27</v>
      </c>
      <c r="N33" s="34">
        <f t="shared" si="0"/>
        <v>906678.27355387993</v>
      </c>
      <c r="O33" s="35">
        <f t="shared" si="1"/>
        <v>0.25159501462797251</v>
      </c>
      <c r="P33" s="36">
        <f>'With Loan'!$D$38</f>
        <v>133471.15342466856</v>
      </c>
      <c r="Q33" s="37">
        <f>'With Loan'!$H$31</f>
        <v>3.5000000000000003E-2</v>
      </c>
      <c r="R33" s="38">
        <f>'With Loan'!$D$24</f>
        <v>405990</v>
      </c>
      <c r="S33" s="38">
        <f>'With Loan'!$D$40</f>
        <v>284193</v>
      </c>
      <c r="T33" s="39">
        <f t="shared" si="2"/>
        <v>621800.93028712994</v>
      </c>
      <c r="U33" s="39">
        <f>S33-_xlfn.XLOOKUP($M33*12,'30% Down Amortization'!$A$4:$A$363,'30% Down Amortization'!$E$4:$E$363,0,0,1)</f>
        <v>239445.90068036006</v>
      </c>
      <c r="V33" s="39">
        <f>(R33+T33)*'With Loan'!$H$36</f>
        <v>71945.365120099101</v>
      </c>
      <c r="W33" s="36">
        <f>'With Loan'!$I$27*'With Loan'!$M33</f>
        <v>117376.80770648897</v>
      </c>
      <c r="X33" s="34">
        <f t="shared" si="4"/>
        <v>4347.2891743144064</v>
      </c>
      <c r="Y33" s="80">
        <f>IF($H$32=$M33,R33+T33-V33-_xlfn.XLOOKUP(M33*12,'30% Down Amortization'!$A$4:$A$363,'30% Down Amortization'!$E$4:$E$363,0,0,1),0)</f>
        <v>0</v>
      </c>
      <c r="Z33" s="70">
        <f t="shared" si="3"/>
        <v>0</v>
      </c>
    </row>
    <row r="34" spans="1:26">
      <c r="A34" s="10"/>
      <c r="B34" s="44" t="s">
        <v>32</v>
      </c>
      <c r="C34" s="44"/>
      <c r="D34" s="50">
        <f>Summary!D8</f>
        <v>405990</v>
      </c>
      <c r="E34" s="45"/>
      <c r="F34" s="43"/>
      <c r="I34" s="45"/>
      <c r="M34" s="30">
        <v>28</v>
      </c>
      <c r="N34" s="34">
        <f t="shared" si="0"/>
        <v>958841.00488694303</v>
      </c>
      <c r="O34" s="35">
        <f t="shared" si="1"/>
        <v>0.25656721114973119</v>
      </c>
      <c r="P34" s="36">
        <f>'With Loan'!$D$38</f>
        <v>133471.15342466856</v>
      </c>
      <c r="Q34" s="37">
        <f>'With Loan'!$H$31</f>
        <v>3.5000000000000003E-2</v>
      </c>
      <c r="R34" s="38">
        <f>'With Loan'!$D$24</f>
        <v>405990</v>
      </c>
      <c r="S34" s="38">
        <f>'With Loan'!$D$40</f>
        <v>284193</v>
      </c>
      <c r="T34" s="39">
        <f t="shared" si="2"/>
        <v>657773.61284717941</v>
      </c>
      <c r="U34" s="39">
        <f>S34-_xlfn.XLOOKUP($M34*12,'30% Down Amortization'!$A$4:$A$363,'30% Down Amortization'!$E$4:$E$363,0,0,1)</f>
        <v>253806.74805826289</v>
      </c>
      <c r="V34" s="39">
        <f>(R34+T34)*'With Loan'!$H$36</f>
        <v>74463.45289930256</v>
      </c>
      <c r="W34" s="36">
        <f>'With Loan'!$I$27*'With Loan'!$M34</f>
        <v>121724.09688080338</v>
      </c>
      <c r="X34" s="34">
        <f t="shared" si="4"/>
        <v>4347.2891743144064</v>
      </c>
      <c r="Y34" s="80">
        <f>IF($H$32=$M34,R34+T34-V34-_xlfn.XLOOKUP(M34*12,'30% Down Amortization'!$A$4:$A$363,'30% Down Amortization'!$E$4:$E$363,0,0,1),0)</f>
        <v>0</v>
      </c>
      <c r="Z34" s="70">
        <f t="shared" si="3"/>
        <v>0</v>
      </c>
    </row>
    <row r="35" spans="1:26">
      <c r="A35" s="10"/>
      <c r="B35" s="44" t="s">
        <v>63</v>
      </c>
      <c r="C35" s="81">
        <f>Summary!D9</f>
        <v>0.3</v>
      </c>
      <c r="D35" s="52">
        <f>C35*D34</f>
        <v>121797</v>
      </c>
      <c r="E35" s="45"/>
      <c r="F35" s="43"/>
      <c r="G35" s="56" t="s">
        <v>45</v>
      </c>
      <c r="H35" s="58">
        <f>D40-_xlfn.XLOOKUP($H$32*12,'30% Down Amortization'!$A$4:$A$363,'30% Down Amortization'!$E$4:$E$363,0,0,1)</f>
        <v>103210.94884868429</v>
      </c>
      <c r="I35" s="71"/>
      <c r="M35" s="30">
        <v>29</v>
      </c>
      <c r="N35" s="34">
        <f t="shared" si="0"/>
        <v>1012722.5319270736</v>
      </c>
      <c r="O35" s="35">
        <f t="shared" si="1"/>
        <v>0.26164055469772135</v>
      </c>
      <c r="P35" s="36">
        <f>'With Loan'!$D$38</f>
        <v>133471.15342466856</v>
      </c>
      <c r="Q35" s="37">
        <f>'With Loan'!$H$31</f>
        <v>3.5000000000000003E-2</v>
      </c>
      <c r="R35" s="38">
        <f>'With Loan'!$D$24</f>
        <v>405990</v>
      </c>
      <c r="S35" s="38">
        <f>'With Loan'!$D$40</f>
        <v>284193</v>
      </c>
      <c r="T35" s="39">
        <f t="shared" si="2"/>
        <v>695005.33929683059</v>
      </c>
      <c r="U35" s="39">
        <f>S35-_xlfn.XLOOKUP($M35*12,'30% Down Amortization'!$A$4:$A$363,'30% Down Amortization'!$E$4:$E$363,0,0,1)</f>
        <v>268715.48032590345</v>
      </c>
      <c r="V35" s="39">
        <f>(R35+T35)*'With Loan'!$H$36</f>
        <v>77069.673750778151</v>
      </c>
      <c r="W35" s="36">
        <f>'With Loan'!$I$27*'With Loan'!$M35</f>
        <v>126071.38605511779</v>
      </c>
      <c r="X35" s="34">
        <f t="shared" si="4"/>
        <v>4347.2891743144064</v>
      </c>
      <c r="Y35" s="80">
        <f>IF($H$32=$M35,R35+T35-V35-_xlfn.XLOOKUP(M35*12,'30% Down Amortization'!$A$4:$A$363,'30% Down Amortization'!$E$4:$E$363,0,0,1),0)</f>
        <v>0</v>
      </c>
      <c r="Z35" s="70">
        <f t="shared" si="3"/>
        <v>0</v>
      </c>
    </row>
    <row r="36" spans="1:26">
      <c r="A36" s="10"/>
      <c r="B36" s="44" t="s">
        <v>66</v>
      </c>
      <c r="C36" s="44"/>
      <c r="D36" s="52">
        <f>'Closing Costs'!C28</f>
        <v>11674.153424668562</v>
      </c>
      <c r="E36" s="60"/>
      <c r="F36" s="43"/>
      <c r="G36" s="44" t="s">
        <v>64</v>
      </c>
      <c r="H36" s="51">
        <v>7.0000000000000007E-2</v>
      </c>
      <c r="I36" s="45"/>
      <c r="M36" s="30">
        <v>30</v>
      </c>
      <c r="N36" s="34">
        <f t="shared" si="0"/>
        <v>1068384.7390695964</v>
      </c>
      <c r="O36" s="35">
        <f t="shared" si="1"/>
        <v>0.2668203856929518</v>
      </c>
      <c r="P36" s="36">
        <f>'With Loan'!$D$38</f>
        <v>133471.15342466856</v>
      </c>
      <c r="Q36" s="37">
        <f>'With Loan'!$H$31</f>
        <v>3.5000000000000003E-2</v>
      </c>
      <c r="R36" s="38">
        <f>'With Loan'!$D$24</f>
        <v>405990</v>
      </c>
      <c r="S36" s="38">
        <f>'With Loan'!$D$40</f>
        <v>284193</v>
      </c>
      <c r="T36" s="39">
        <f t="shared" si="2"/>
        <v>733540.17617221968</v>
      </c>
      <c r="U36" s="39">
        <f>S36-_xlfn.XLOOKUP($M36*12,'30% Down Amortization'!$A$4:$A$363,'30% Down Amortization'!$E$4:$E$363,0,0,1)</f>
        <v>284192.99999999983</v>
      </c>
      <c r="V36" s="39">
        <f>(R36+T36)*'With Loan'!$H$36</f>
        <v>79767.112332055389</v>
      </c>
      <c r="W36" s="36">
        <f>'With Loan'!$I$27*'With Loan'!$M36</f>
        <v>130418.67522943219</v>
      </c>
      <c r="X36" s="34">
        <f t="shared" si="4"/>
        <v>4347.2891743144064</v>
      </c>
      <c r="Y36" s="80">
        <f>IF($H$32=$M36,R36+T36-V36-_xlfn.XLOOKUP(M36*12,'30% Down Amortization'!$A$4:$A$363,'30% Down Amortization'!$E$4:$E$363,0,0,1),0)</f>
        <v>0</v>
      </c>
      <c r="Z36" s="70">
        <f t="shared" si="3"/>
        <v>0</v>
      </c>
    </row>
    <row r="37" spans="1:26">
      <c r="A37" s="10"/>
      <c r="B37" s="44" t="s">
        <v>67</v>
      </c>
      <c r="C37" s="44"/>
      <c r="D37" s="50">
        <v>0</v>
      </c>
      <c r="E37" s="45"/>
      <c r="F37" s="43"/>
      <c r="G37" s="44" t="s">
        <v>46</v>
      </c>
      <c r="H37" s="52">
        <f>(D34+H33)*$H$36</f>
        <v>47612.24102579485</v>
      </c>
      <c r="I37" s="45"/>
      <c r="N37" s="34"/>
      <c r="Z37" s="70"/>
    </row>
    <row r="38" spans="1:26">
      <c r="A38" s="10"/>
      <c r="B38" s="56" t="s">
        <v>42</v>
      </c>
      <c r="C38" s="56"/>
      <c r="D38" s="61">
        <f>SUM(D35:D37)</f>
        <v>133471.15342466856</v>
      </c>
      <c r="E38" s="45"/>
      <c r="F38" s="43"/>
      <c r="G38" s="56" t="s">
        <v>17</v>
      </c>
      <c r="H38" s="64">
        <f>H32*I27</f>
        <v>65209.337614716096</v>
      </c>
      <c r="I38" s="45"/>
      <c r="Z38" s="70"/>
    </row>
    <row r="39" spans="1:26" ht="17.25">
      <c r="A39" s="10"/>
      <c r="B39" s="46" t="s">
        <v>84</v>
      </c>
      <c r="C39" s="46"/>
      <c r="D39" s="48" t="s">
        <v>50</v>
      </c>
      <c r="E39" s="48" t="s">
        <v>51</v>
      </c>
      <c r="F39" s="43"/>
      <c r="G39" s="56" t="s">
        <v>40</v>
      </c>
      <c r="H39" s="58">
        <f>H38+H33+H35-H37</f>
        <v>394992.91723467468</v>
      </c>
      <c r="I39" s="45"/>
      <c r="Z39" s="70"/>
    </row>
    <row r="40" spans="1:26">
      <c r="A40" s="10"/>
      <c r="B40" s="44" t="s">
        <v>43</v>
      </c>
      <c r="C40" s="44"/>
      <c r="D40" s="52">
        <f>D34-D35</f>
        <v>284193</v>
      </c>
      <c r="E40" s="45"/>
      <c r="F40" s="43"/>
      <c r="I40" s="45"/>
      <c r="Z40" s="70"/>
    </row>
    <row r="41" spans="1:26">
      <c r="A41" s="10"/>
      <c r="B41" s="44" t="s">
        <v>85</v>
      </c>
      <c r="C41" s="44"/>
      <c r="D41" s="63">
        <f>Summary!D10</f>
        <v>3.7499999999999999E-2</v>
      </c>
      <c r="E41" s="45"/>
      <c r="F41" s="43"/>
      <c r="G41" s="56" t="s">
        <v>70</v>
      </c>
      <c r="H41" s="65">
        <f>((H38/D38)/H32)</f>
        <v>3.2571001769067853E-2</v>
      </c>
      <c r="I41" s="45"/>
      <c r="Z41" s="70"/>
    </row>
    <row r="42" spans="1:26">
      <c r="A42" s="10"/>
      <c r="B42" s="44" t="s">
        <v>86</v>
      </c>
      <c r="C42" s="44"/>
      <c r="D42" s="55">
        <v>30</v>
      </c>
      <c r="E42" s="45"/>
      <c r="F42" s="43"/>
      <c r="G42" s="56" t="s">
        <v>72</v>
      </c>
      <c r="H42" s="65">
        <f>((I28*H32)/D38)/H32</f>
        <v>4.8214831513736026E-2</v>
      </c>
      <c r="I42" s="45"/>
      <c r="Z42" s="70"/>
    </row>
    <row r="43" spans="1:26">
      <c r="A43" s="10"/>
      <c r="B43" s="56" t="s">
        <v>87</v>
      </c>
      <c r="C43" s="56"/>
      <c r="D43" s="61">
        <f>-PMT(D41/12,D42*12,$D$40,0,0)</f>
        <v>1316.1420931565772</v>
      </c>
      <c r="E43" s="59">
        <f>D43*12</f>
        <v>15793.705117878926</v>
      </c>
      <c r="F43" s="43"/>
      <c r="G43" s="56" t="s">
        <v>59</v>
      </c>
      <c r="H43" s="65">
        <f>H39/D38/H32</f>
        <v>0.19729252706159192</v>
      </c>
      <c r="I43" s="45"/>
    </row>
    <row r="44" spans="1:26" ht="17.25">
      <c r="A44" s="10"/>
      <c r="B44" s="46" t="s">
        <v>68</v>
      </c>
      <c r="C44" s="46"/>
      <c r="D44" s="48" t="s">
        <v>50</v>
      </c>
      <c r="E44" s="48" t="s">
        <v>51</v>
      </c>
      <c r="F44" s="43"/>
      <c r="G44" s="56" t="s">
        <v>26</v>
      </c>
      <c r="H44" s="65">
        <f>IRR(Z6:Z36)</f>
        <v>0.1047858167925213</v>
      </c>
      <c r="I44" s="45"/>
    </row>
    <row r="45" spans="1:26">
      <c r="A45" s="10"/>
      <c r="B45" s="44" t="s">
        <v>88</v>
      </c>
      <c r="C45" s="44"/>
      <c r="D45" s="52">
        <f>D43</f>
        <v>1316.1420931565772</v>
      </c>
      <c r="E45" s="53">
        <f>E43</f>
        <v>15793.705117878926</v>
      </c>
      <c r="F45" s="43"/>
      <c r="G45" s="56" t="s">
        <v>60</v>
      </c>
      <c r="H45" s="65">
        <f>(I25-E55+E45)/D34</f>
        <v>4.9609582236491867E-2</v>
      </c>
    </row>
    <row r="46" spans="1:26">
      <c r="A46" s="10"/>
      <c r="B46" s="44" t="s">
        <v>69</v>
      </c>
      <c r="C46" s="82">
        <v>2.0030539999999999E-2</v>
      </c>
      <c r="D46" s="52">
        <f>C46*0.9*D34/12</f>
        <v>609.91492009499996</v>
      </c>
      <c r="E46" s="53">
        <f>D46*12</f>
        <v>7318.979041139999</v>
      </c>
      <c r="F46" s="43"/>
      <c r="G46" s="10"/>
      <c r="H46" s="10"/>
      <c r="I46" s="10"/>
    </row>
    <row r="47" spans="1:26" ht="17.25">
      <c r="A47" s="10"/>
      <c r="B47" s="44" t="s">
        <v>89</v>
      </c>
      <c r="C47" s="44"/>
      <c r="D47" s="50">
        <v>105</v>
      </c>
      <c r="E47" s="53">
        <f>D47*12</f>
        <v>1260</v>
      </c>
      <c r="F47" s="43"/>
      <c r="G47" s="46" t="s">
        <v>78</v>
      </c>
      <c r="H47" s="48"/>
      <c r="I47" s="48"/>
    </row>
    <row r="48" spans="1:26">
      <c r="A48" s="10"/>
      <c r="B48" s="56" t="s">
        <v>90</v>
      </c>
      <c r="C48" s="44"/>
      <c r="D48" s="20">
        <f>SUM(D45:D47)</f>
        <v>2031.0570132515772</v>
      </c>
      <c r="E48" s="20">
        <f>SUM(E45:E47)</f>
        <v>24372.684159018925</v>
      </c>
      <c r="F48" s="43"/>
      <c r="G48" s="56" t="s">
        <v>79</v>
      </c>
      <c r="H48" s="66"/>
      <c r="I48" s="58">
        <f>(D34-68000)/27.5</f>
        <v>12290.545454545454</v>
      </c>
    </row>
    <row r="49" spans="1:9">
      <c r="A49" s="10"/>
      <c r="B49" s="10"/>
      <c r="C49" s="10"/>
      <c r="D49" s="17"/>
      <c r="E49" s="16"/>
      <c r="F49" s="43"/>
      <c r="G49" s="10"/>
      <c r="H49" s="10"/>
      <c r="I49" s="10"/>
    </row>
    <row r="50" spans="1:9" ht="17.25">
      <c r="A50" s="10"/>
      <c r="B50" s="44" t="s">
        <v>73</v>
      </c>
      <c r="C50" s="44"/>
      <c r="D50" s="50">
        <f>1000/12</f>
        <v>83.333333333333329</v>
      </c>
      <c r="E50" s="53">
        <f>D50*12</f>
        <v>1000</v>
      </c>
      <c r="F50" s="43"/>
      <c r="G50" s="46" t="s">
        <v>91</v>
      </c>
      <c r="H50" s="48"/>
      <c r="I50" s="48"/>
    </row>
    <row r="51" spans="1:9">
      <c r="A51" s="10"/>
      <c r="B51" s="44" t="s">
        <v>74</v>
      </c>
      <c r="C51" s="81">
        <v>0.06</v>
      </c>
      <c r="D51" s="52">
        <f>(H25-D53)*C51</f>
        <v>168.78</v>
      </c>
      <c r="E51" s="53">
        <f>D51*12</f>
        <v>2025.3600000000001</v>
      </c>
      <c r="F51" s="43"/>
      <c r="G51" s="44" t="s">
        <v>92</v>
      </c>
      <c r="H51" s="44"/>
      <c r="I51" s="67">
        <v>6</v>
      </c>
    </row>
    <row r="52" spans="1:9">
      <c r="A52" s="10"/>
      <c r="B52" s="44" t="s">
        <v>93</v>
      </c>
      <c r="C52" s="81">
        <v>0.5</v>
      </c>
      <c r="D52" s="52">
        <f>(C52*H25)/18</f>
        <v>80.555555555555557</v>
      </c>
      <c r="E52" s="53">
        <f>D52*12</f>
        <v>966.66666666666674</v>
      </c>
      <c r="F52" s="43"/>
      <c r="G52" s="56" t="s">
        <v>91</v>
      </c>
      <c r="H52" s="68"/>
      <c r="I52" s="58">
        <f>MIN((D55-D51-D53),3500)*I51</f>
        <v>13691.675412842798</v>
      </c>
    </row>
    <row r="53" spans="1:9">
      <c r="A53" s="10"/>
      <c r="B53" s="44" t="s">
        <v>76</v>
      </c>
      <c r="C53" s="81">
        <v>0.03</v>
      </c>
      <c r="D53" s="52">
        <f>C53*H25</f>
        <v>87</v>
      </c>
      <c r="E53" s="53">
        <f>D53*12</f>
        <v>1044</v>
      </c>
      <c r="F53" s="43"/>
      <c r="G53" s="10"/>
      <c r="H53" s="10"/>
      <c r="I53" s="10"/>
    </row>
    <row r="54" spans="1:9">
      <c r="A54" s="10"/>
      <c r="B54" s="44" t="s">
        <v>94</v>
      </c>
      <c r="C54" s="81">
        <v>0.03</v>
      </c>
      <c r="D54" s="52">
        <f>C54*H25</f>
        <v>87</v>
      </c>
      <c r="E54" s="53">
        <f>D54*12</f>
        <v>1044</v>
      </c>
      <c r="F54" s="43"/>
      <c r="G54" s="10"/>
      <c r="H54" s="10"/>
      <c r="I54" s="10"/>
    </row>
    <row r="55" spans="1:9">
      <c r="A55" s="10"/>
      <c r="B55" s="56" t="s">
        <v>54</v>
      </c>
      <c r="C55" s="56"/>
      <c r="D55" s="58">
        <f>SUM(D48:D54)</f>
        <v>2537.7259021404666</v>
      </c>
      <c r="E55" s="58">
        <f>SUM(E48:E54)</f>
        <v>30452.710825685594</v>
      </c>
      <c r="F55" s="43"/>
      <c r="G55" s="10"/>
      <c r="H55" s="10"/>
      <c r="I55" s="10"/>
    </row>
    <row r="56" spans="1:9">
      <c r="A56" s="10"/>
      <c r="B56" s="10"/>
      <c r="C56" s="10"/>
      <c r="D56" s="17"/>
      <c r="E56" s="16"/>
      <c r="F56" s="43"/>
      <c r="G56" s="10"/>
      <c r="H56" s="10"/>
      <c r="I56" s="10"/>
    </row>
    <row r="57" spans="1:9">
      <c r="A57" s="10"/>
      <c r="B57" s="44"/>
      <c r="C57" s="44"/>
      <c r="D57" s="50"/>
      <c r="E57" s="53"/>
      <c r="F57" s="43"/>
      <c r="G57" s="10"/>
      <c r="H57" s="10"/>
      <c r="I57" s="10"/>
    </row>
    <row r="58" spans="1:9">
      <c r="A58" s="10"/>
      <c r="B58" s="18" t="s">
        <v>80</v>
      </c>
      <c r="C58" s="18"/>
      <c r="D58" s="17"/>
      <c r="E58" s="16"/>
      <c r="F58" s="10"/>
      <c r="G58" s="10"/>
      <c r="H58" s="10"/>
      <c r="I58" s="10"/>
    </row>
    <row r="59" spans="1:9" ht="55.9" customHeight="1">
      <c r="A59" s="10"/>
      <c r="B59" s="112" t="s">
        <v>81</v>
      </c>
      <c r="C59" s="112"/>
      <c r="D59" s="112"/>
      <c r="E59" s="112"/>
      <c r="F59" s="112"/>
      <c r="G59" s="112"/>
      <c r="H59" s="112"/>
      <c r="I59" s="112"/>
    </row>
    <row r="60" spans="1:9" ht="17.25">
      <c r="A60" s="10"/>
      <c r="B60" s="111" t="s">
        <v>37</v>
      </c>
      <c r="C60" s="111"/>
      <c r="D60" s="111"/>
      <c r="E60" s="111"/>
      <c r="F60" s="111"/>
      <c r="G60" s="111"/>
      <c r="H60" s="111"/>
      <c r="I60" s="111"/>
    </row>
    <row r="61" spans="1:9">
      <c r="F61" s="10"/>
    </row>
    <row r="62" spans="1:9">
      <c r="F62" s="10"/>
    </row>
    <row r="63" spans="1:9">
      <c r="F63" s="10"/>
    </row>
    <row r="64" spans="1:9">
      <c r="F64" s="10"/>
    </row>
    <row r="65" spans="6:6">
      <c r="F65" s="10"/>
    </row>
    <row r="66" spans="6:6">
      <c r="F66" s="10"/>
    </row>
    <row r="67" spans="6:6">
      <c r="F67" s="10"/>
    </row>
    <row r="68" spans="6:6">
      <c r="F68" s="10"/>
    </row>
  </sheetData>
  <sheetProtection selectLockedCells="1"/>
  <mergeCells count="6">
    <mergeCell ref="B60:I60"/>
    <mergeCell ref="B3:I3"/>
    <mergeCell ref="B1:I1"/>
    <mergeCell ref="B2:I2"/>
    <mergeCell ref="B4:I4"/>
    <mergeCell ref="B59:I59"/>
  </mergeCells>
  <pageMargins left="0.7" right="0.7" top="0.75" bottom="0.75" header="0.3" footer="0.3"/>
  <pageSetup scale="57"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F8CF3207-B10D-4B80-8F02-1AE1D0E2196C}">
          <x14:formula1>
            <xm:f>DAta!$H$2:$H$7</xm:f>
          </x14:formula1>
          <xm:sqref>I51</xm:sqref>
        </x14:dataValidation>
        <x14:dataValidation type="list" allowBlank="1" showInputMessage="1" showErrorMessage="1" xr:uid="{6C9A5CE5-8D98-4AF3-AEA5-695A66A1EFAD}">
          <x14:formula1>
            <xm:f>DAta!$F$2:$F$12</xm:f>
          </x14:formula1>
          <xm:sqref>C51</xm:sqref>
        </x14:dataValidation>
        <x14:dataValidation type="list" allowBlank="1" showInputMessage="1" showErrorMessage="1" xr:uid="{C774F02B-450C-43D8-B02E-BCEC7076DE27}">
          <x14:formula1>
            <xm:f>DAta!$H$2:$H$31</xm:f>
          </x14:formula1>
          <xm:sqref>H32</xm:sqref>
        </x14:dataValidation>
        <x14:dataValidation type="list" allowBlank="1" showInputMessage="1" showErrorMessage="1" xr:uid="{9B0933B4-BBD2-4ED5-9A4E-2C7FD8C4978D}">
          <x14:formula1>
            <xm:f>DAta!$E$2:$E$11</xm:f>
          </x14:formula1>
          <xm:sqref>C54</xm:sqref>
        </x14:dataValidation>
        <x14:dataValidation type="list" allowBlank="1" showInputMessage="1" showErrorMessage="1" xr:uid="{DC98E49C-C163-443E-86C2-D08DE089F76A}">
          <x14:formula1>
            <xm:f>DAta!$C$2:$C$11</xm:f>
          </x14:formula1>
          <xm:sqref>C53</xm:sqref>
        </x14:dataValidation>
        <x14:dataValidation type="list" allowBlank="1" showInputMessage="1" showErrorMessage="1" xr:uid="{F6E919F1-45C0-410C-AAAD-2EF75E7F6EAE}">
          <x14:formula1>
            <xm:f>DAta!$A$2:$A$23</xm:f>
          </x14:formula1>
          <xm:sqref>C35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FD3F3-A1E6-45C1-8DCD-77FB45BCDC03}">
  <sheetPr>
    <pageSetUpPr fitToPage="1"/>
  </sheetPr>
  <dimension ref="A1:Z69"/>
  <sheetViews>
    <sheetView zoomScale="85" zoomScaleNormal="85" workbookViewId="0">
      <selection activeCell="Z14" sqref="Z14"/>
    </sheetView>
  </sheetViews>
  <sheetFormatPr defaultRowHeight="14.25"/>
  <cols>
    <col min="1" max="1" width="3" customWidth="1"/>
    <col min="2" max="2" width="50.28515625" bestFit="1" customWidth="1"/>
    <col min="3" max="3" width="12.5703125" customWidth="1"/>
    <col min="4" max="4" width="12.7109375" style="8" customWidth="1"/>
    <col min="5" max="5" width="13.140625" style="9" customWidth="1"/>
    <col min="6" max="6" width="5.28515625" customWidth="1"/>
    <col min="7" max="7" width="54.42578125" customWidth="1"/>
    <col min="8" max="8" width="14.140625" bestFit="1" customWidth="1"/>
    <col min="9" max="9" width="13.140625" customWidth="1"/>
    <col min="10" max="10" width="13.42578125" bestFit="1" customWidth="1"/>
    <col min="12" max="12" width="9" style="30" customWidth="1"/>
    <col min="13" max="13" width="9.28515625" style="30" hidden="1" customWidth="1"/>
    <col min="14" max="14" width="20.28515625" style="30" hidden="1" customWidth="1"/>
    <col min="15" max="15" width="20.85546875" style="30" hidden="1" customWidth="1"/>
    <col min="16" max="16" width="23.42578125" style="30" hidden="1" customWidth="1"/>
    <col min="17" max="17" width="17.5703125" style="30" hidden="1" customWidth="1"/>
    <col min="18" max="18" width="9.5703125" style="30" hidden="1" customWidth="1"/>
    <col min="19" max="19" width="12.7109375" style="30" hidden="1" customWidth="1"/>
    <col min="20" max="20" width="12.5703125" style="30" hidden="1" customWidth="1"/>
    <col min="21" max="21" width="17.5703125" style="30" hidden="1" customWidth="1"/>
    <col min="22" max="22" width="16.42578125" style="30" hidden="1" customWidth="1"/>
    <col min="23" max="23" width="24.140625" style="30" hidden="1" customWidth="1"/>
    <col min="24" max="26" width="11" bestFit="1" customWidth="1"/>
  </cols>
  <sheetData>
    <row r="1" spans="1:23">
      <c r="A1" s="10"/>
      <c r="B1" s="113"/>
      <c r="C1" s="113"/>
      <c r="D1" s="113"/>
      <c r="E1" s="113"/>
      <c r="F1" s="113"/>
      <c r="G1" s="113"/>
      <c r="H1" s="113"/>
      <c r="I1" s="113"/>
    </row>
    <row r="2" spans="1:23">
      <c r="A2" s="10"/>
      <c r="B2" s="113"/>
      <c r="C2" s="113"/>
      <c r="D2" s="113"/>
      <c r="E2" s="113"/>
      <c r="F2" s="113"/>
      <c r="G2" s="113"/>
      <c r="H2" s="113"/>
      <c r="I2" s="113"/>
    </row>
    <row r="3" spans="1:23" ht="23.25" customHeight="1">
      <c r="A3" s="10"/>
      <c r="B3" s="113"/>
      <c r="C3" s="113"/>
      <c r="D3" s="113"/>
      <c r="E3" s="113"/>
      <c r="F3" s="113"/>
      <c r="G3" s="113"/>
      <c r="H3" s="113"/>
      <c r="I3" s="113"/>
    </row>
    <row r="4" spans="1:23" ht="22.5">
      <c r="A4" s="10"/>
      <c r="B4" s="114" t="s">
        <v>38</v>
      </c>
      <c r="C4" s="114"/>
      <c r="D4" s="114"/>
      <c r="E4" s="114"/>
      <c r="F4" s="114"/>
      <c r="G4" s="114"/>
      <c r="H4" s="114"/>
      <c r="I4" s="114"/>
      <c r="T4" s="39"/>
    </row>
    <row r="5" spans="1:23">
      <c r="A5" s="10"/>
      <c r="B5" s="43"/>
      <c r="C5" s="43"/>
      <c r="D5" s="44"/>
      <c r="E5" s="45"/>
      <c r="F5" s="43"/>
      <c r="G5" s="43"/>
      <c r="H5" s="43"/>
      <c r="I5" s="43"/>
      <c r="M5" s="31" t="s">
        <v>39</v>
      </c>
      <c r="N5" s="31" t="s">
        <v>40</v>
      </c>
      <c r="O5" s="32" t="s">
        <v>41</v>
      </c>
      <c r="P5" s="31" t="s">
        <v>42</v>
      </c>
      <c r="Q5" s="31" t="s">
        <v>10</v>
      </c>
      <c r="R5" s="31" t="s">
        <v>6</v>
      </c>
      <c r="S5" s="31" t="s">
        <v>43</v>
      </c>
      <c r="T5" s="31" t="s">
        <v>44</v>
      </c>
      <c r="U5" s="31" t="s">
        <v>45</v>
      </c>
      <c r="V5" s="31" t="s">
        <v>46</v>
      </c>
      <c r="W5" s="33" t="s">
        <v>95</v>
      </c>
    </row>
    <row r="6" spans="1:23" ht="14.25" customHeight="1">
      <c r="A6" s="10"/>
      <c r="B6" s="43"/>
      <c r="C6" s="43"/>
      <c r="D6" s="44"/>
      <c r="E6" s="45"/>
      <c r="F6" s="43"/>
      <c r="G6" s="43"/>
      <c r="H6" s="43"/>
      <c r="I6" s="43"/>
      <c r="M6" s="30">
        <v>0</v>
      </c>
    </row>
    <row r="7" spans="1:23" ht="14.25" customHeight="1">
      <c r="A7" s="10"/>
      <c r="B7" s="43"/>
      <c r="C7" s="43"/>
      <c r="D7" s="44"/>
      <c r="E7" s="45"/>
      <c r="F7" s="43"/>
      <c r="G7" s="43"/>
      <c r="H7" s="43"/>
      <c r="I7" s="43"/>
      <c r="M7" s="30">
        <v>1</v>
      </c>
      <c r="N7" s="34">
        <f>T7+U7-V7</f>
        <v>-8599.4321275797556</v>
      </c>
      <c r="O7" s="35">
        <f t="shared" ref="O7:O32" si="0">N7/P7/M7</f>
        <v>-0.33223216798903926</v>
      </c>
      <c r="P7" s="36">
        <f>'Owner Occupier'!$D$38</f>
        <v>25883.803424668564</v>
      </c>
      <c r="Q7" s="37">
        <f>'Owner Occupier'!$H$30</f>
        <v>3.5000000000000003E-2</v>
      </c>
      <c r="R7" s="38">
        <f>'Owner Occupier'!$D$24</f>
        <v>405990</v>
      </c>
      <c r="S7" s="38">
        <f>'Owner Occupier'!$D$40</f>
        <v>391780.35</v>
      </c>
      <c r="T7" s="39">
        <f t="shared" ref="T7:T36" si="1">$R$7*(1+Q7)^M7-$R$7</f>
        <v>14209.649999999965</v>
      </c>
      <c r="U7" s="39">
        <f>S7-_xlfn.XLOOKUP($M7*12,'FHA Amotization'!$A$4:$A$363,'FHA Amotization'!$E$4:$E$363,0,0,1)</f>
        <v>6604.8933724202798</v>
      </c>
      <c r="V7" s="39">
        <f>(R7+T7)*'Owner Occupier'!$H$35</f>
        <v>29413.9755</v>
      </c>
      <c r="W7" s="36">
        <f t="shared" ref="W7:W36" si="2">$I$26*M7</f>
        <v>-18826.329174203172</v>
      </c>
    </row>
    <row r="8" spans="1:23" ht="14.25" customHeight="1">
      <c r="A8" s="10"/>
      <c r="B8" s="43"/>
      <c r="C8" s="43"/>
      <c r="D8" s="44"/>
      <c r="E8" s="45"/>
      <c r="F8" s="43"/>
      <c r="G8" s="43"/>
      <c r="H8" s="43"/>
      <c r="I8" s="43"/>
      <c r="M8" s="30">
        <v>2</v>
      </c>
      <c r="N8" s="34">
        <f t="shared" ref="N8:N36" si="3">T8+U8-V8</f>
        <v>11969.200847569718</v>
      </c>
      <c r="O8" s="35">
        <f t="shared" si="0"/>
        <v>0.23121024084432795</v>
      </c>
      <c r="P8" s="36">
        <f>'Owner Occupier'!$D$38</f>
        <v>25883.803424668564</v>
      </c>
      <c r="Q8" s="37">
        <f>'Owner Occupier'!$H$30</f>
        <v>3.5000000000000003E-2</v>
      </c>
      <c r="R8" s="38">
        <f>'Owner Occupier'!$D$24</f>
        <v>405990</v>
      </c>
      <c r="S8" s="38">
        <f>'Owner Occupier'!$D$40</f>
        <v>391780.35</v>
      </c>
      <c r="T8" s="39">
        <f t="shared" si="1"/>
        <v>28916.637749999936</v>
      </c>
      <c r="U8" s="39">
        <f>S8-_xlfn.XLOOKUP($M8*12,'FHA Amotization'!$A$4:$A$363,'FHA Amotization'!$E$4:$E$363,0,0,1)</f>
        <v>13496.027740069781</v>
      </c>
      <c r="V8" s="39">
        <f>(R8+T8)*'Owner Occupier'!$H$35</f>
        <v>30443.464642499999</v>
      </c>
      <c r="W8" s="36">
        <f t="shared" si="2"/>
        <v>-37652.658348406345</v>
      </c>
    </row>
    <row r="9" spans="1:23" ht="14.25" customHeight="1">
      <c r="A9" s="10"/>
      <c r="B9" s="43"/>
      <c r="C9" s="43"/>
      <c r="D9" s="44"/>
      <c r="E9" s="45"/>
      <c r="F9" s="43"/>
      <c r="G9" s="43"/>
      <c r="H9" s="43"/>
      <c r="I9" s="43"/>
      <c r="M9" s="30">
        <v>3</v>
      </c>
      <c r="N9" s="34">
        <f t="shared" si="3"/>
        <v>33315.192300258263</v>
      </c>
      <c r="O9" s="35">
        <f t="shared" si="0"/>
        <v>0.42903525103665419</v>
      </c>
      <c r="P9" s="36">
        <f>'Owner Occupier'!$D$38</f>
        <v>25883.803424668564</v>
      </c>
      <c r="Q9" s="37">
        <f>'Owner Occupier'!$H$30</f>
        <v>3.5000000000000003E-2</v>
      </c>
      <c r="R9" s="38">
        <f>'Owner Occupier'!$D$24</f>
        <v>405990</v>
      </c>
      <c r="S9" s="38">
        <f>'Owner Occupier'!$D$40</f>
        <v>391780.35</v>
      </c>
      <c r="T9" s="39">
        <f t="shared" si="1"/>
        <v>44138.370071249898</v>
      </c>
      <c r="U9" s="39">
        <f>S9-_xlfn.XLOOKUP($M9*12,'FHA Amotization'!$A$4:$A$363,'FHA Amotization'!$E$4:$E$363,0,0,1)</f>
        <v>20685.808133995859</v>
      </c>
      <c r="V9" s="39">
        <f>(R9+T9)*'Owner Occupier'!$H$35</f>
        <v>31508.985904987498</v>
      </c>
      <c r="W9" s="36">
        <f t="shared" si="2"/>
        <v>-56478.987522609517</v>
      </c>
    </row>
    <row r="10" spans="1:23" ht="14.25" customHeight="1">
      <c r="A10" s="10"/>
      <c r="B10" s="43"/>
      <c r="C10" s="43"/>
      <c r="D10" s="44"/>
      <c r="E10" s="45"/>
      <c r="F10" s="43"/>
      <c r="G10" s="43"/>
      <c r="H10" s="43"/>
      <c r="I10" s="43"/>
      <c r="M10" s="30">
        <v>4</v>
      </c>
      <c r="N10" s="34">
        <f t="shared" si="3"/>
        <v>55468.239803043864</v>
      </c>
      <c r="O10" s="35">
        <f t="shared" si="0"/>
        <v>0.53574274704717317</v>
      </c>
      <c r="P10" s="36">
        <f>'Owner Occupier'!$D$38</f>
        <v>25883.803424668564</v>
      </c>
      <c r="Q10" s="37">
        <f>'Owner Occupier'!$H$30</f>
        <v>3.5000000000000003E-2</v>
      </c>
      <c r="R10" s="38">
        <f>'Owner Occupier'!$D$24</f>
        <v>405990</v>
      </c>
      <c r="S10" s="38">
        <f>'Owner Occupier'!$D$40</f>
        <v>391780.35</v>
      </c>
      <c r="T10" s="39">
        <f t="shared" si="1"/>
        <v>59892.863023743615</v>
      </c>
      <c r="U10" s="39">
        <f>S10-_xlfn.XLOOKUP($M10*12,'FHA Amotization'!$A$4:$A$363,'FHA Amotization'!$E$4:$E$363,0,0,1)</f>
        <v>28187.177190962306</v>
      </c>
      <c r="V10" s="39">
        <f>(R10+T10)*'Owner Occupier'!$H$35</f>
        <v>32611.800411662058</v>
      </c>
      <c r="W10" s="36">
        <f t="shared" si="2"/>
        <v>-75305.31669681269</v>
      </c>
    </row>
    <row r="11" spans="1:23" ht="14.25" customHeight="1">
      <c r="A11" s="10"/>
      <c r="B11" s="43"/>
      <c r="C11" s="43"/>
      <c r="D11" s="44"/>
      <c r="E11" s="45"/>
      <c r="F11" s="43"/>
      <c r="G11" s="43"/>
      <c r="H11" s="43"/>
      <c r="I11" s="43"/>
      <c r="M11" s="30">
        <v>5</v>
      </c>
      <c r="N11" s="34">
        <f t="shared" si="3"/>
        <v>78459.188255557732</v>
      </c>
      <c r="O11" s="35">
        <f t="shared" si="0"/>
        <v>0.60624157098011477</v>
      </c>
      <c r="P11" s="36">
        <f>'Owner Occupier'!$D$38</f>
        <v>25883.803424668564</v>
      </c>
      <c r="Q11" s="37">
        <f>'Owner Occupier'!$H$30</f>
        <v>3.5000000000000003E-2</v>
      </c>
      <c r="R11" s="38">
        <f>'Owner Occupier'!$D$24</f>
        <v>405990</v>
      </c>
      <c r="S11" s="38">
        <f>'Owner Occupier'!$D$40</f>
        <v>391780.35</v>
      </c>
      <c r="T11" s="39">
        <f t="shared" si="1"/>
        <v>76198.763229574601</v>
      </c>
      <c r="U11" s="39">
        <f>S11-_xlfn.XLOOKUP($M11*12,'FHA Amotization'!$A$4:$A$363,'FHA Amotization'!$E$4:$E$363,0,0,1)</f>
        <v>36013.638452053361</v>
      </c>
      <c r="V11" s="39">
        <f>(R11+T11)*'Owner Occupier'!$H$35</f>
        <v>33753.213426070222</v>
      </c>
      <c r="W11" s="36">
        <f t="shared" si="2"/>
        <v>-94131.645871015862</v>
      </c>
    </row>
    <row r="12" spans="1:23" ht="14.25" customHeight="1">
      <c r="A12" s="10"/>
      <c r="B12" s="43"/>
      <c r="C12" s="43"/>
      <c r="D12" s="44"/>
      <c r="E12" s="45"/>
      <c r="F12" s="43"/>
      <c r="G12" s="43"/>
      <c r="H12" s="43"/>
      <c r="I12" s="43"/>
      <c r="M12" s="30">
        <v>6</v>
      </c>
      <c r="N12" s="34">
        <f t="shared" si="3"/>
        <v>102320.07471761294</v>
      </c>
      <c r="O12" s="35">
        <f t="shared" si="0"/>
        <v>0.6588423465624117</v>
      </c>
      <c r="P12" s="36">
        <f>'Owner Occupier'!$D$38</f>
        <v>25883.803424668564</v>
      </c>
      <c r="Q12" s="37">
        <f>'Owner Occupier'!$H$30</f>
        <v>3.5000000000000003E-2</v>
      </c>
      <c r="R12" s="38">
        <f>'Owner Occupier'!$D$24</f>
        <v>405990</v>
      </c>
      <c r="S12" s="38">
        <f>'Owner Occupier'!$D$40</f>
        <v>391780.35</v>
      </c>
      <c r="T12" s="39">
        <f t="shared" si="1"/>
        <v>93075.369942609745</v>
      </c>
      <c r="U12" s="39">
        <f>S12-_xlfn.XLOOKUP($M12*12,'FHA Amotization'!$A$4:$A$363,'FHA Amotization'!$E$4:$E$363,0,0,1)</f>
        <v>44179.280670985871</v>
      </c>
      <c r="V12" s="39">
        <f>(R12+T12)*'Owner Occupier'!$H$35</f>
        <v>34934.575895982685</v>
      </c>
      <c r="W12" s="36">
        <f t="shared" si="2"/>
        <v>-112957.97504521903</v>
      </c>
    </row>
    <row r="13" spans="1:23" ht="14.25" customHeight="1">
      <c r="A13" s="10"/>
      <c r="B13" s="43"/>
      <c r="C13" s="43"/>
      <c r="D13" s="44"/>
      <c r="E13" s="45"/>
      <c r="F13" s="43"/>
      <c r="G13" s="43"/>
      <c r="H13" s="43"/>
      <c r="I13" s="43"/>
      <c r="M13" s="30">
        <v>7</v>
      </c>
      <c r="N13" s="34">
        <f t="shared" si="3"/>
        <v>127084.1750141471</v>
      </c>
      <c r="O13" s="35">
        <f t="shared" si="0"/>
        <v>0.70139932091956947</v>
      </c>
      <c r="P13" s="36">
        <f>'Owner Occupier'!$D$38</f>
        <v>25883.803424668564</v>
      </c>
      <c r="Q13" s="37">
        <f>'Owner Occupier'!$H$30</f>
        <v>3.5000000000000003E-2</v>
      </c>
      <c r="R13" s="38">
        <f>'Owner Occupier'!$D$24</f>
        <v>405990</v>
      </c>
      <c r="S13" s="38">
        <f>'Owner Occupier'!$D$40</f>
        <v>391780.35</v>
      </c>
      <c r="T13" s="39">
        <f t="shared" si="1"/>
        <v>110542.65789060103</v>
      </c>
      <c r="U13" s="39">
        <f>S13-_xlfn.XLOOKUP($M13*12,'FHA Amotization'!$A$4:$A$363,'FHA Amotization'!$E$4:$E$363,0,0,1)</f>
        <v>52698.803175888141</v>
      </c>
      <c r="V13" s="39">
        <f>(R13+T13)*'Owner Occupier'!$H$35</f>
        <v>36157.286052342075</v>
      </c>
      <c r="W13" s="36">
        <f t="shared" si="2"/>
        <v>-131784.30421942222</v>
      </c>
    </row>
    <row r="14" spans="1:23" ht="14.25" customHeight="1">
      <c r="A14" s="10"/>
      <c r="B14" s="43"/>
      <c r="C14" s="43"/>
      <c r="D14" s="44"/>
      <c r="E14" s="45"/>
      <c r="F14" s="43"/>
      <c r="G14" s="43"/>
      <c r="H14" s="43"/>
      <c r="I14" s="43"/>
      <c r="M14" s="30">
        <v>8</v>
      </c>
      <c r="N14" s="34">
        <f t="shared" si="3"/>
        <v>152786.05218279926</v>
      </c>
      <c r="O14" s="35">
        <f t="shared" si="0"/>
        <v>0.737845833918222</v>
      </c>
      <c r="P14" s="36">
        <f>'Owner Occupier'!$D$38</f>
        <v>25883.803424668564</v>
      </c>
      <c r="Q14" s="37">
        <f>'Owner Occupier'!$H$30</f>
        <v>3.5000000000000003E-2</v>
      </c>
      <c r="R14" s="38">
        <f>'Owner Occupier'!$D$24</f>
        <v>405990</v>
      </c>
      <c r="S14" s="38">
        <f>'Owner Occupier'!$D$40</f>
        <v>391780.35</v>
      </c>
      <c r="T14" s="39">
        <f t="shared" si="1"/>
        <v>128621.30091677199</v>
      </c>
      <c r="U14" s="39">
        <f>S14-_xlfn.XLOOKUP($M14*12,'FHA Amotization'!$A$4:$A$363,'FHA Amotization'!$E$4:$E$363,0,0,1)</f>
        <v>61587.542330201308</v>
      </c>
      <c r="V14" s="39">
        <f>(R14+T14)*'Owner Occupier'!$H$35</f>
        <v>37422.791064174045</v>
      </c>
      <c r="W14" s="36">
        <f t="shared" si="2"/>
        <v>-150610.63339362538</v>
      </c>
    </row>
    <row r="15" spans="1:23" ht="14.25" customHeight="1">
      <c r="A15" s="10"/>
      <c r="B15" s="43"/>
      <c r="C15" s="43"/>
      <c r="D15" s="44"/>
      <c r="E15" s="45"/>
      <c r="F15" s="43"/>
      <c r="G15" s="43"/>
      <c r="H15" s="43"/>
      <c r="I15" s="43"/>
      <c r="M15" s="30">
        <v>9</v>
      </c>
      <c r="N15" s="34">
        <f t="shared" si="3"/>
        <v>179461.60683777303</v>
      </c>
      <c r="O15" s="35">
        <f t="shared" si="0"/>
        <v>0.77037281617300279</v>
      </c>
      <c r="P15" s="36">
        <f>'Owner Occupier'!$D$38</f>
        <v>25883.803424668564</v>
      </c>
      <c r="Q15" s="37">
        <f>'Owner Occupier'!$H$30</f>
        <v>3.5000000000000003E-2</v>
      </c>
      <c r="R15" s="38">
        <f>'Owner Occupier'!$D$24</f>
        <v>405990</v>
      </c>
      <c r="S15" s="38">
        <f>'Owner Occupier'!$D$40</f>
        <v>391780.35</v>
      </c>
      <c r="T15" s="39">
        <f t="shared" si="1"/>
        <v>147332.69644885883</v>
      </c>
      <c r="U15" s="39">
        <f>S15-_xlfn.XLOOKUP($M15*12,'FHA Amotization'!$A$4:$A$363,'FHA Amotization'!$E$4:$E$363,0,0,1)</f>
        <v>70861.499140334316</v>
      </c>
      <c r="V15" s="39">
        <f>(R15+T15)*'Owner Occupier'!$H$35</f>
        <v>38732.588751420124</v>
      </c>
      <c r="W15" s="36">
        <f t="shared" si="2"/>
        <v>-169436.96256782854</v>
      </c>
    </row>
    <row r="16" spans="1:23" ht="14.25" customHeight="1">
      <c r="A16" s="10"/>
      <c r="B16" s="43"/>
      <c r="C16" s="43"/>
      <c r="D16" s="44"/>
      <c r="E16" s="45"/>
      <c r="F16" s="43"/>
      <c r="G16" s="43"/>
      <c r="H16" s="43"/>
      <c r="I16" s="43"/>
      <c r="M16" s="30">
        <v>10</v>
      </c>
      <c r="N16" s="34">
        <f t="shared" si="3"/>
        <v>207148.12952662149</v>
      </c>
      <c r="O16" s="35">
        <f t="shared" si="0"/>
        <v>0.80030019594878754</v>
      </c>
      <c r="P16" s="36">
        <f>'Owner Occupier'!$D$38</f>
        <v>25883.803424668564</v>
      </c>
      <c r="Q16" s="37">
        <f>'Owner Occupier'!$H$30</f>
        <v>3.5000000000000003E-2</v>
      </c>
      <c r="R16" s="38">
        <f>'Owner Occupier'!$D$24</f>
        <v>405990</v>
      </c>
      <c r="S16" s="38">
        <f>'Owner Occupier'!$D$40</f>
        <v>391780.35</v>
      </c>
      <c r="T16" s="39">
        <f t="shared" si="1"/>
        <v>166698.9908245689</v>
      </c>
      <c r="U16" s="39">
        <f>S16-_xlfn.XLOOKUP($M16*12,'FHA Amotization'!$A$4:$A$363,'FHA Amotization'!$E$4:$E$363,0,0,1)</f>
        <v>80537.368059772416</v>
      </c>
      <c r="V16" s="39">
        <f>(R16+T16)*'Owner Occupier'!$H$35</f>
        <v>40088.229357719829</v>
      </c>
      <c r="W16" s="36">
        <f t="shared" si="2"/>
        <v>-188263.29174203172</v>
      </c>
    </row>
    <row r="17" spans="1:26" ht="14.25" customHeight="1">
      <c r="A17" s="10"/>
      <c r="B17" s="43"/>
      <c r="C17" s="43"/>
      <c r="D17" s="44"/>
      <c r="E17" s="45"/>
      <c r="F17" s="43"/>
      <c r="G17" s="43"/>
      <c r="H17" s="43"/>
      <c r="I17" s="43"/>
      <c r="M17" s="30">
        <v>11</v>
      </c>
      <c r="N17" s="34">
        <f t="shared" si="3"/>
        <v>235884.35515967905</v>
      </c>
      <c r="O17" s="35">
        <f t="shared" si="0"/>
        <v>0.8284730004867179</v>
      </c>
      <c r="P17" s="36">
        <f>'Owner Occupier'!$D$38</f>
        <v>25883.803424668564</v>
      </c>
      <c r="Q17" s="37">
        <f>'Owner Occupier'!$H$30</f>
        <v>3.5000000000000003E-2</v>
      </c>
      <c r="R17" s="38">
        <f>'Owner Occupier'!$D$24</f>
        <v>405990</v>
      </c>
      <c r="S17" s="38">
        <f>'Owner Occupier'!$D$40</f>
        <v>391780.35</v>
      </c>
      <c r="T17" s="39">
        <f t="shared" si="1"/>
        <v>186743.10550342884</v>
      </c>
      <c r="U17" s="39">
        <f>S17-_xlfn.XLOOKUP($M17*12,'FHA Amotization'!$A$4:$A$363,'FHA Amotization'!$E$4:$E$363,0,0,1)</f>
        <v>90632.567041490227</v>
      </c>
      <c r="V17" s="39">
        <f>(R17+T17)*'Owner Occupier'!$H$35</f>
        <v>41491.317385240021</v>
      </c>
      <c r="W17" s="36">
        <f t="shared" si="2"/>
        <v>-207089.62091623491</v>
      </c>
    </row>
    <row r="18" spans="1:26" ht="14.25" customHeight="1">
      <c r="A18" s="10"/>
      <c r="B18" s="43"/>
      <c r="C18" s="43"/>
      <c r="D18" s="44"/>
      <c r="E18" s="45"/>
      <c r="F18" s="43"/>
      <c r="G18" s="43"/>
      <c r="H18" s="43"/>
      <c r="I18" s="43"/>
      <c r="M18" s="30">
        <v>12</v>
      </c>
      <c r="N18" s="34">
        <f t="shared" si="3"/>
        <v>265710.51959509222</v>
      </c>
      <c r="O18" s="35">
        <f t="shared" si="0"/>
        <v>0.85545941360720057</v>
      </c>
      <c r="P18" s="36">
        <f>'Owner Occupier'!$D$38</f>
        <v>25883.803424668564</v>
      </c>
      <c r="Q18" s="37">
        <f>'Owner Occupier'!$H$30</f>
        <v>3.5000000000000003E-2</v>
      </c>
      <c r="R18" s="38">
        <f>'Owner Occupier'!$D$24</f>
        <v>405990</v>
      </c>
      <c r="S18" s="38">
        <f>'Owner Occupier'!$D$40</f>
        <v>391780.35</v>
      </c>
      <c r="T18" s="39">
        <f t="shared" si="1"/>
        <v>207488.76419604884</v>
      </c>
      <c r="U18" s="39">
        <f>S18-_xlfn.XLOOKUP($M18*12,'FHA Amotization'!$A$4:$A$363,'FHA Amotization'!$E$4:$E$363,0,0,1)</f>
        <v>101165.26889276679</v>
      </c>
      <c r="V18" s="39">
        <f>(R18+T18)*'Owner Occupier'!$H$35</f>
        <v>42943.513493723425</v>
      </c>
      <c r="W18" s="36">
        <f t="shared" si="2"/>
        <v>-225915.95009043807</v>
      </c>
    </row>
    <row r="19" spans="1:26" ht="14.25" customHeight="1">
      <c r="A19" s="10"/>
      <c r="B19" s="43"/>
      <c r="C19" s="43"/>
      <c r="D19" s="44"/>
      <c r="E19" s="45"/>
      <c r="F19" s="43"/>
      <c r="G19" s="43"/>
      <c r="H19" s="43"/>
      <c r="I19" s="43"/>
      <c r="M19" s="30">
        <v>13</v>
      </c>
      <c r="N19" s="34">
        <f t="shared" si="3"/>
        <v>296668.41846575442</v>
      </c>
      <c r="O19" s="35">
        <f t="shared" si="0"/>
        <v>0.8816574287741491</v>
      </c>
      <c r="P19" s="36">
        <f>'Owner Occupier'!$D$38</f>
        <v>25883.803424668564</v>
      </c>
      <c r="Q19" s="37">
        <f>'Owner Occupier'!$H$30</f>
        <v>3.5000000000000003E-2</v>
      </c>
      <c r="R19" s="38">
        <f>'Owner Occupier'!$D$24</f>
        <v>405990</v>
      </c>
      <c r="S19" s="38">
        <f>'Owner Occupier'!$D$40</f>
        <v>391780.35</v>
      </c>
      <c r="T19" s="39">
        <f t="shared" si="1"/>
        <v>228960.52094291034</v>
      </c>
      <c r="U19" s="39">
        <f>S19-_xlfn.XLOOKUP($M19*12,'FHA Amotization'!$A$4:$A$363,'FHA Amotization'!$E$4:$E$363,0,0,1)</f>
        <v>112154.43398884783</v>
      </c>
      <c r="V19" s="39">
        <f>(R19+T19)*'Owner Occupier'!$H$35</f>
        <v>44446.53646600373</v>
      </c>
      <c r="W19" s="36">
        <f t="shared" si="2"/>
        <v>-244742.27926464123</v>
      </c>
    </row>
    <row r="20" spans="1:26" ht="14.25" customHeight="1">
      <c r="A20" s="10"/>
      <c r="B20" s="43"/>
      <c r="C20" s="43"/>
      <c r="D20" s="44"/>
      <c r="E20" s="45"/>
      <c r="F20" s="43"/>
      <c r="G20" s="43"/>
      <c r="H20" s="43"/>
      <c r="I20" s="43"/>
      <c r="M20" s="30">
        <v>14</v>
      </c>
      <c r="N20" s="34">
        <f t="shared" si="3"/>
        <v>328801.46833794075</v>
      </c>
      <c r="O20" s="35">
        <f t="shared" si="0"/>
        <v>0.90735580013764916</v>
      </c>
      <c r="P20" s="36">
        <f>'Owner Occupier'!$D$38</f>
        <v>25883.803424668564</v>
      </c>
      <c r="Q20" s="37">
        <f>'Owner Occupier'!$H$30</f>
        <v>3.5000000000000003E-2</v>
      </c>
      <c r="R20" s="38">
        <f>'Owner Occupier'!$D$24</f>
        <v>405990</v>
      </c>
      <c r="S20" s="38">
        <f>'Owner Occupier'!$D$40</f>
        <v>391780.35</v>
      </c>
      <c r="T20" s="39">
        <f t="shared" si="1"/>
        <v>251183.78917591239</v>
      </c>
      <c r="U20" s="39">
        <f>S20-_xlfn.XLOOKUP($M20*12,'FHA Amotization'!$A$4:$A$363,'FHA Amotization'!$E$4:$E$363,0,0,1)</f>
        <v>123619.84440434224</v>
      </c>
      <c r="V20" s="39">
        <f>(R20+T20)*'Owner Occupier'!$H$35</f>
        <v>46002.165242313873</v>
      </c>
      <c r="W20" s="36">
        <f t="shared" si="2"/>
        <v>-263568.60843884444</v>
      </c>
    </row>
    <row r="21" spans="1:26" ht="14.25" customHeight="1">
      <c r="A21" s="10"/>
      <c r="B21" s="43"/>
      <c r="C21" s="43"/>
      <c r="D21" s="44"/>
      <c r="E21" s="45"/>
      <c r="F21" s="43"/>
      <c r="G21" s="43"/>
      <c r="H21" s="43"/>
      <c r="I21" s="43"/>
      <c r="M21" s="40">
        <v>15</v>
      </c>
      <c r="N21" s="34">
        <f t="shared" si="3"/>
        <v>362154.77029507095</v>
      </c>
      <c r="O21" s="35">
        <f t="shared" si="0"/>
        <v>0.93277061940574846</v>
      </c>
      <c r="P21" s="36">
        <f>'Owner Occupier'!$D$38</f>
        <v>25883.803424668564</v>
      </c>
      <c r="Q21" s="37">
        <f>'Owner Occupier'!$H$30</f>
        <v>3.5000000000000003E-2</v>
      </c>
      <c r="R21" s="38">
        <f>'Owner Occupier'!$D$24</f>
        <v>405990</v>
      </c>
      <c r="S21" s="38">
        <f>'Owner Occupier'!$D$40</f>
        <v>391780.35</v>
      </c>
      <c r="T21" s="39">
        <f t="shared" si="1"/>
        <v>274184.87179706921</v>
      </c>
      <c r="U21" s="39">
        <f>S21-_xlfn.XLOOKUP($M21*12,'FHA Amotization'!$A$4:$A$363,'FHA Amotization'!$E$4:$E$363,0,0,1)</f>
        <v>135582.13952379665</v>
      </c>
      <c r="V21" s="39">
        <f>(R21+T21)*'Owner Occupier'!$H$35</f>
        <v>47612.24102579485</v>
      </c>
      <c r="W21" s="36">
        <f t="shared" si="2"/>
        <v>-282394.9376130476</v>
      </c>
      <c r="X21" s="85"/>
      <c r="Y21" s="86"/>
      <c r="Z21" s="85"/>
    </row>
    <row r="22" spans="1:26" ht="14.25" customHeight="1">
      <c r="A22" s="10"/>
      <c r="B22" s="43"/>
      <c r="C22" s="43"/>
      <c r="D22" s="44"/>
      <c r="E22" s="45"/>
      <c r="F22" s="43"/>
      <c r="G22" s="43"/>
      <c r="H22" s="43"/>
      <c r="I22" s="43"/>
      <c r="M22" s="30">
        <v>16</v>
      </c>
      <c r="N22" s="34">
        <f t="shared" si="3"/>
        <v>396775.1760438187</v>
      </c>
      <c r="O22" s="35">
        <f t="shared" si="0"/>
        <v>0.95806818247987868</v>
      </c>
      <c r="P22" s="36">
        <f>'Owner Occupier'!$D$38</f>
        <v>25883.803424668564</v>
      </c>
      <c r="Q22" s="37">
        <f>'Owner Occupier'!$H$30</f>
        <v>3.5000000000000003E-2</v>
      </c>
      <c r="R22" s="38">
        <f>'Owner Occupier'!$D$24</f>
        <v>405990</v>
      </c>
      <c r="S22" s="38">
        <f>'Owner Occupier'!$D$40</f>
        <v>391780.35</v>
      </c>
      <c r="T22" s="39">
        <f t="shared" si="1"/>
        <v>297990.99230996647</v>
      </c>
      <c r="U22" s="39">
        <f>S22-_xlfn.XLOOKUP($M22*12,'FHA Amotization'!$A$4:$A$363,'FHA Amotization'!$E$4:$E$363,0,0,1)</f>
        <v>148062.85319554986</v>
      </c>
      <c r="V22" s="39">
        <f>(R22+T22)*'Owner Occupier'!$H$35</f>
        <v>49278.66946169766</v>
      </c>
      <c r="W22" s="36">
        <f t="shared" si="2"/>
        <v>-301221.26678725076</v>
      </c>
    </row>
    <row r="23" spans="1:26" ht="17.25">
      <c r="A23" s="10"/>
      <c r="B23" s="46" t="s">
        <v>13</v>
      </c>
      <c r="C23" s="46"/>
      <c r="D23" s="47"/>
      <c r="E23" s="48"/>
      <c r="F23" s="49"/>
      <c r="G23" s="46" t="s">
        <v>47</v>
      </c>
      <c r="H23" s="48" t="s">
        <v>50</v>
      </c>
      <c r="I23" s="48" t="s">
        <v>51</v>
      </c>
      <c r="M23" s="30">
        <v>17</v>
      </c>
      <c r="N23" s="34">
        <f t="shared" si="3"/>
        <v>432711.3566437093</v>
      </c>
      <c r="O23" s="35">
        <f t="shared" si="0"/>
        <v>0.98337979147520782</v>
      </c>
      <c r="P23" s="36">
        <f>'Owner Occupier'!$D$38</f>
        <v>25883.803424668564</v>
      </c>
      <c r="Q23" s="37">
        <f>'Owner Occupier'!$H$30</f>
        <v>3.5000000000000003E-2</v>
      </c>
      <c r="R23" s="38">
        <f>'Owner Occupier'!$D$24</f>
        <v>405990</v>
      </c>
      <c r="S23" s="38">
        <f>'Owner Occupier'!$D$40</f>
        <v>391780.35</v>
      </c>
      <c r="T23" s="39">
        <f t="shared" si="1"/>
        <v>322630.32704081526</v>
      </c>
      <c r="U23" s="39">
        <f>S23-_xlfn.XLOOKUP($M23*12,'FHA Amotization'!$A$4:$A$363,'FHA Amotization'!$E$4:$E$363,0,0,1)</f>
        <v>161084.45249575109</v>
      </c>
      <c r="V23" s="39">
        <f>(R23+T23)*'Owner Occupier'!$H$35</f>
        <v>51003.422892857074</v>
      </c>
      <c r="W23" s="36">
        <f t="shared" si="2"/>
        <v>-320047.59596145392</v>
      </c>
    </row>
    <row r="24" spans="1:26">
      <c r="A24" s="10"/>
      <c r="B24" s="56" t="s">
        <v>32</v>
      </c>
      <c r="C24" s="56"/>
      <c r="D24" s="61">
        <f>Summary!E8</f>
        <v>405990</v>
      </c>
      <c r="E24" s="45"/>
      <c r="F24" s="43"/>
      <c r="G24" s="44" t="s">
        <v>53</v>
      </c>
      <c r="H24" s="50">
        <f>Summary!E11</f>
        <v>1450</v>
      </c>
      <c r="I24" s="53">
        <f t="shared" ref="I24" si="4">H24*12</f>
        <v>17400</v>
      </c>
      <c r="M24" s="30">
        <v>18</v>
      </c>
      <c r="N24" s="34">
        <f t="shared" si="3"/>
        <v>470013.8739654586</v>
      </c>
      <c r="O24" s="35">
        <f t="shared" si="0"/>
        <v>1.008811628591028</v>
      </c>
      <c r="P24" s="36">
        <f>'Owner Occupier'!$D$38</f>
        <v>25883.803424668564</v>
      </c>
      <c r="Q24" s="37">
        <f>'Owner Occupier'!$H$30</f>
        <v>3.5000000000000003E-2</v>
      </c>
      <c r="R24" s="38">
        <f>'Owner Occupier'!$D$24</f>
        <v>405990</v>
      </c>
      <c r="S24" s="38">
        <f>'Owner Occupier'!$D$40</f>
        <v>391780.35</v>
      </c>
      <c r="T24" s="39">
        <f t="shared" si="1"/>
        <v>348132.0384872437</v>
      </c>
      <c r="U24" s="39">
        <f>S24-_xlfn.XLOOKUP($M24*12,'FHA Amotization'!$A$4:$A$363,'FHA Amotization'!$E$4:$E$363,0,0,1)</f>
        <v>174670.37817232191</v>
      </c>
      <c r="V24" s="39">
        <f>(R24+T24)*'Owner Occupier'!$H$35</f>
        <v>52788.542694107062</v>
      </c>
      <c r="W24" s="36">
        <f t="shared" si="2"/>
        <v>-338873.92513565707</v>
      </c>
    </row>
    <row r="25" spans="1:26">
      <c r="A25" s="10"/>
      <c r="B25" s="56" t="s">
        <v>15</v>
      </c>
      <c r="C25" s="56"/>
      <c r="D25" s="61">
        <f>I24</f>
        <v>17400</v>
      </c>
      <c r="E25" s="45"/>
      <c r="F25" s="43"/>
      <c r="G25" s="44" t="s">
        <v>54</v>
      </c>
      <c r="H25" s="50">
        <f>D56</f>
        <v>3018.8607645169309</v>
      </c>
      <c r="I25" s="53">
        <f>E56</f>
        <v>36226.329174203172</v>
      </c>
      <c r="M25" s="30">
        <v>19</v>
      </c>
      <c r="N25" s="34">
        <f t="shared" si="3"/>
        <v>508735.25498756388</v>
      </c>
      <c r="O25" s="35">
        <f t="shared" si="0"/>
        <v>1.0344515176880511</v>
      </c>
      <c r="P25" s="36">
        <f>'Owner Occupier'!$D$38</f>
        <v>25883.803424668564</v>
      </c>
      <c r="Q25" s="37">
        <f>'Owner Occupier'!$H$30</f>
        <v>3.5000000000000003E-2</v>
      </c>
      <c r="R25" s="38">
        <f>'Owner Occupier'!$D$24</f>
        <v>405990</v>
      </c>
      <c r="S25" s="38">
        <f>'Owner Occupier'!$D$40</f>
        <v>391780.35</v>
      </c>
      <c r="T25" s="39">
        <f t="shared" si="1"/>
        <v>374526.30983429716</v>
      </c>
      <c r="U25" s="39">
        <f>S25-_xlfn.XLOOKUP($M25*12,'FHA Amotization'!$A$4:$A$363,'FHA Amotization'!$E$4:$E$363,0,0,1)</f>
        <v>188845.08684166754</v>
      </c>
      <c r="V25" s="39">
        <f>(R25+T25)*'Owner Occupier'!$H$35</f>
        <v>54636.141688400807</v>
      </c>
      <c r="W25" s="36">
        <f t="shared" si="2"/>
        <v>-357700.25430986029</v>
      </c>
    </row>
    <row r="26" spans="1:26">
      <c r="A26" s="10"/>
      <c r="B26" s="56" t="s">
        <v>96</v>
      </c>
      <c r="C26" s="56"/>
      <c r="D26" s="61">
        <f>D38</f>
        <v>25883.803424668564</v>
      </c>
      <c r="E26" s="45"/>
      <c r="F26" s="43"/>
      <c r="G26" s="56" t="s">
        <v>97</v>
      </c>
      <c r="H26" s="58">
        <f>H24-H25</f>
        <v>-1568.8607645169309</v>
      </c>
      <c r="I26" s="59">
        <f>I24-I25</f>
        <v>-18826.329174203172</v>
      </c>
      <c r="M26" s="30">
        <v>20</v>
      </c>
      <c r="N26" s="34">
        <f t="shared" si="3"/>
        <v>548930.06904509931</v>
      </c>
      <c r="O26" s="35">
        <f t="shared" si="0"/>
        <v>1.0603736630953189</v>
      </c>
      <c r="P26" s="36">
        <f>'Owner Occupier'!$D$38</f>
        <v>25883.803424668564</v>
      </c>
      <c r="Q26" s="37">
        <f>'Owner Occupier'!$H$30</f>
        <v>3.5000000000000003E-2</v>
      </c>
      <c r="R26" s="38">
        <f>'Owner Occupier'!$D$24</f>
        <v>405990</v>
      </c>
      <c r="S26" s="38">
        <f>'Owner Occupier'!$D$40</f>
        <v>391780.35</v>
      </c>
      <c r="T26" s="39">
        <f t="shared" si="1"/>
        <v>401844.38067849749</v>
      </c>
      <c r="U26" s="39">
        <f>S26-_xlfn.XLOOKUP($M26*12,'FHA Amotization'!$A$4:$A$363,'FHA Amotization'!$E$4:$E$363,0,0,1)</f>
        <v>203634.0950140967</v>
      </c>
      <c r="V26" s="39">
        <f>(R26+T26)*'Owner Occupier'!$H$35</f>
        <v>56548.406647494827</v>
      </c>
      <c r="W26" s="36">
        <f t="shared" si="2"/>
        <v>-376526.58348406345</v>
      </c>
    </row>
    <row r="27" spans="1:26">
      <c r="A27" s="10"/>
      <c r="B27" s="56" t="s">
        <v>98</v>
      </c>
      <c r="C27" s="56"/>
      <c r="D27" s="61">
        <f>H26</f>
        <v>-1568.8607645169309</v>
      </c>
      <c r="E27" s="45"/>
      <c r="F27" s="43"/>
      <c r="G27" s="56" t="s">
        <v>99</v>
      </c>
      <c r="H27" s="58">
        <f>H24-H25+D54+D55</f>
        <v>-1481.8607645169309</v>
      </c>
      <c r="I27" s="58">
        <f>I24-I25+E54+E55</f>
        <v>-17782.329174203172</v>
      </c>
      <c r="M27" s="30">
        <v>21</v>
      </c>
      <c r="N27" s="34">
        <f t="shared" si="3"/>
        <v>590655.00814929081</v>
      </c>
      <c r="O27" s="35">
        <f t="shared" si="0"/>
        <v>1.086642040121667</v>
      </c>
      <c r="P27" s="36">
        <f>'Owner Occupier'!$D$38</f>
        <v>25883.803424668564</v>
      </c>
      <c r="Q27" s="37">
        <f>'Owner Occupier'!$H$30</f>
        <v>3.5000000000000003E-2</v>
      </c>
      <c r="R27" s="38">
        <f>'Owner Occupier'!$D$24</f>
        <v>405990</v>
      </c>
      <c r="S27" s="38">
        <f>'Owner Occupier'!$D$40</f>
        <v>391780.35</v>
      </c>
      <c r="T27" s="39">
        <f t="shared" si="1"/>
        <v>430118.58400224475</v>
      </c>
      <c r="U27" s="39">
        <f>S27-_xlfn.XLOOKUP($M27*12,'FHA Amotization'!$A$4:$A$363,'FHA Amotization'!$E$4:$E$363,0,0,1)</f>
        <v>219064.0250272032</v>
      </c>
      <c r="V27" s="39">
        <f>(R27+T27)*'Owner Occupier'!$H$35</f>
        <v>58527.600880157137</v>
      </c>
      <c r="W27" s="36">
        <f t="shared" si="2"/>
        <v>-395352.91265826661</v>
      </c>
    </row>
    <row r="28" spans="1:26">
      <c r="A28" s="10"/>
      <c r="B28" s="56" t="s">
        <v>100</v>
      </c>
      <c r="C28" s="56"/>
      <c r="D28" s="61">
        <f>H27</f>
        <v>-1481.8607645169309</v>
      </c>
      <c r="E28" s="45"/>
      <c r="F28" s="43"/>
      <c r="G28" s="10"/>
      <c r="H28" s="10"/>
      <c r="I28" s="10"/>
      <c r="M28" s="30">
        <v>22</v>
      </c>
      <c r="N28" s="34">
        <f t="shared" si="3"/>
        <v>633968.97050125559</v>
      </c>
      <c r="O28" s="35">
        <f t="shared" si="0"/>
        <v>1.1133128664915173</v>
      </c>
      <c r="P28" s="36">
        <f>'Owner Occupier'!$D$38</f>
        <v>25883.803424668564</v>
      </c>
      <c r="Q28" s="37">
        <f>'Owner Occupier'!$H$30</f>
        <v>3.5000000000000003E-2</v>
      </c>
      <c r="R28" s="38">
        <f>'Owner Occupier'!$D$24</f>
        <v>405990</v>
      </c>
      <c r="S28" s="38">
        <f>'Owner Occupier'!$D$40</f>
        <v>391780.35</v>
      </c>
      <c r="T28" s="39">
        <f t="shared" si="1"/>
        <v>459382.38444232335</v>
      </c>
      <c r="U28" s="39">
        <f>S28-_xlfn.XLOOKUP($M28*12,'FHA Amotization'!$A$4:$A$363,'FHA Amotization'!$E$4:$E$363,0,0,1)</f>
        <v>235162.6529698949</v>
      </c>
      <c r="V28" s="39">
        <f>(R28+T28)*'Owner Occupier'!$H$35</f>
        <v>60576.06691096264</v>
      </c>
      <c r="W28" s="36">
        <f t="shared" si="2"/>
        <v>-414179.24183246982</v>
      </c>
    </row>
    <row r="29" spans="1:26" ht="17.25">
      <c r="A29" s="10"/>
      <c r="B29" s="56" t="s">
        <v>101</v>
      </c>
      <c r="C29" s="56"/>
      <c r="D29" s="73">
        <f>H34</f>
        <v>63095.644977594951</v>
      </c>
      <c r="E29" s="45"/>
      <c r="F29" s="43"/>
      <c r="G29" s="46" t="s">
        <v>41</v>
      </c>
      <c r="H29" s="48"/>
      <c r="I29" s="48"/>
      <c r="M29" s="30">
        <v>23</v>
      </c>
      <c r="N29" s="34">
        <f t="shared" si="3"/>
        <v>678933.14732829935</v>
      </c>
      <c r="O29" s="35">
        <f t="shared" si="0"/>
        <v>1.1404364346393476</v>
      </c>
      <c r="P29" s="36">
        <f>'Owner Occupier'!$D$38</f>
        <v>25883.803424668564</v>
      </c>
      <c r="Q29" s="37">
        <f>'Owner Occupier'!$H$30</f>
        <v>3.5000000000000003E-2</v>
      </c>
      <c r="R29" s="38">
        <f>'Owner Occupier'!$D$24</f>
        <v>405990</v>
      </c>
      <c r="S29" s="38">
        <f>'Owner Occupier'!$D$40</f>
        <v>391780.35</v>
      </c>
      <c r="T29" s="39">
        <f t="shared" si="1"/>
        <v>489670.41789780464</v>
      </c>
      <c r="U29" s="39">
        <f>S29-_xlfn.XLOOKUP($M29*12,'FHA Amotization'!$A$4:$A$363,'FHA Amotization'!$E$4:$E$363,0,0,1)</f>
        <v>251958.95868334104</v>
      </c>
      <c r="V29" s="39">
        <f>(R29+T29)*'Owner Occupier'!$H$35</f>
        <v>62696.229252846329</v>
      </c>
      <c r="W29" s="36">
        <f t="shared" si="2"/>
        <v>-433005.57100667298</v>
      </c>
    </row>
    <row r="30" spans="1:26">
      <c r="A30" s="10"/>
      <c r="B30" s="56" t="s">
        <v>102</v>
      </c>
      <c r="C30" s="56"/>
      <c r="D30" s="77">
        <f>H32</f>
        <v>274184.87179706921</v>
      </c>
      <c r="E30" s="45"/>
      <c r="F30" s="43"/>
      <c r="G30" s="44" t="s">
        <v>103</v>
      </c>
      <c r="H30" s="62">
        <f>Summary!E12</f>
        <v>3.5000000000000003E-2</v>
      </c>
      <c r="I30" s="45"/>
      <c r="M30" s="30">
        <v>24</v>
      </c>
      <c r="N30" s="34">
        <f t="shared" si="3"/>
        <v>725611.11317637784</v>
      </c>
      <c r="O30" s="35">
        <f t="shared" si="0"/>
        <v>1.1680584914941345</v>
      </c>
      <c r="P30" s="36">
        <f>'Owner Occupier'!$D$38</f>
        <v>25883.803424668564</v>
      </c>
      <c r="Q30" s="37">
        <f>'Owner Occupier'!$H$30</f>
        <v>3.5000000000000003E-2</v>
      </c>
      <c r="R30" s="38">
        <f>'Owner Occupier'!$D$24</f>
        <v>405990</v>
      </c>
      <c r="S30" s="38">
        <f>'Owner Occupier'!$D$40</f>
        <v>391780.35</v>
      </c>
      <c r="T30" s="39">
        <f t="shared" si="1"/>
        <v>521018.53252422763</v>
      </c>
      <c r="U30" s="39">
        <f>S30-_xlfn.XLOOKUP($M30*12,'FHA Amotization'!$A$4:$A$363,'FHA Amotization'!$E$4:$E$363,0,0,1)</f>
        <v>269483.17792884604</v>
      </c>
      <c r="V30" s="39">
        <f>(R30+T30)*'Owner Occupier'!$H$35</f>
        <v>64890.597276695938</v>
      </c>
      <c r="W30" s="36">
        <f t="shared" si="2"/>
        <v>-451831.90018087614</v>
      </c>
    </row>
    <row r="31" spans="1:26">
      <c r="A31" s="10"/>
      <c r="B31" s="56" t="s">
        <v>40</v>
      </c>
      <c r="C31" s="56"/>
      <c r="D31" s="61">
        <f>H37</f>
        <v>289668.27574886929</v>
      </c>
      <c r="E31" s="45"/>
      <c r="F31" s="43"/>
      <c r="G31" s="44" t="s">
        <v>61</v>
      </c>
      <c r="H31" s="79">
        <f>Summary!E13</f>
        <v>15</v>
      </c>
      <c r="I31" s="45"/>
      <c r="M31" s="30">
        <v>25</v>
      </c>
      <c r="N31" s="34">
        <f t="shared" si="3"/>
        <v>774068.91979775555</v>
      </c>
      <c r="O31" s="35">
        <f t="shared" si="0"/>
        <v>1.1962212926714302</v>
      </c>
      <c r="P31" s="36">
        <f>'Owner Occupier'!$D$38</f>
        <v>25883.803424668564</v>
      </c>
      <c r="Q31" s="37">
        <f>'Owner Occupier'!$H$30</f>
        <v>3.5000000000000003E-2</v>
      </c>
      <c r="R31" s="38">
        <f>'Owner Occupier'!$D$24</f>
        <v>405990</v>
      </c>
      <c r="S31" s="38">
        <f>'Owner Occupier'!$D$40</f>
        <v>391780.35</v>
      </c>
      <c r="T31" s="39">
        <f t="shared" si="1"/>
        <v>553463.83116257552</v>
      </c>
      <c r="U31" s="39">
        <f>S31-_xlfn.XLOOKUP($M31*12,'FHA Amotization'!$A$4:$A$363,'FHA Amotization'!$E$4:$E$363,0,0,1)</f>
        <v>287766.85681656026</v>
      </c>
      <c r="V31" s="39">
        <f>(R31+T31)*'Owner Occupier'!$H$35</f>
        <v>67161.768181380292</v>
      </c>
      <c r="W31" s="36">
        <f t="shared" si="2"/>
        <v>-470658.2293550793</v>
      </c>
    </row>
    <row r="32" spans="1:26">
      <c r="A32" s="10"/>
      <c r="B32" s="56" t="s">
        <v>59</v>
      </c>
      <c r="C32" s="19"/>
      <c r="D32" s="89">
        <f>H38</f>
        <v>0.74607344471073334</v>
      </c>
      <c r="E32" s="16"/>
      <c r="F32" s="43"/>
      <c r="G32" s="56" t="str">
        <f>CONCATENATE("Appreciation After ",H31," Years")</f>
        <v>Appreciation After 15 Years</v>
      </c>
      <c r="H32" s="58">
        <f>$D$34*(1+H30)^H31-$D$34</f>
        <v>274184.87179706921</v>
      </c>
      <c r="I32" s="45"/>
      <c r="M32" s="30">
        <v>26</v>
      </c>
      <c r="N32" s="34">
        <f t="shared" si="3"/>
        <v>824375.19377854338</v>
      </c>
      <c r="O32" s="35">
        <f t="shared" si="0"/>
        <v>1.2249644189475475</v>
      </c>
      <c r="P32" s="36">
        <f>'Owner Occupier'!$D$38</f>
        <v>25883.803424668564</v>
      </c>
      <c r="Q32" s="37">
        <f>'Owner Occupier'!$H$30</f>
        <v>3.5000000000000003E-2</v>
      </c>
      <c r="R32" s="38">
        <f>'Owner Occupier'!$D$24</f>
        <v>405990</v>
      </c>
      <c r="S32" s="38">
        <f>'Owner Occupier'!$D$40</f>
        <v>391780.35</v>
      </c>
      <c r="T32" s="39">
        <f t="shared" si="1"/>
        <v>587044.71525326557</v>
      </c>
      <c r="U32" s="39">
        <f>S32-_xlfn.XLOOKUP($M32*12,'FHA Amotization'!$A$4:$A$363,'FHA Amotization'!$E$4:$E$363,0,0,1)</f>
        <v>306842.90859300637</v>
      </c>
      <c r="V32" s="39">
        <f>(R32+T32)*'Owner Occupier'!$H$35</f>
        <v>69512.430067728594</v>
      </c>
      <c r="W32" s="36">
        <f t="shared" si="2"/>
        <v>-489484.55852928245</v>
      </c>
    </row>
    <row r="33" spans="1:23" ht="17.25">
      <c r="A33" s="10"/>
      <c r="B33" s="46" t="s">
        <v>62</v>
      </c>
      <c r="C33" s="46"/>
      <c r="D33" s="47"/>
      <c r="E33" s="48"/>
      <c r="F33" s="43"/>
      <c r="G33" s="56"/>
      <c r="H33" s="64"/>
      <c r="I33" s="45"/>
      <c r="M33" s="30">
        <v>27</v>
      </c>
      <c r="N33" s="34">
        <f t="shared" si="3"/>
        <v>876601.23805667856</v>
      </c>
      <c r="O33" s="35">
        <f>N33/P33/M33</f>
        <v>1.2543254168618558</v>
      </c>
      <c r="P33" s="36">
        <f>'Owner Occupier'!$D$38</f>
        <v>25883.803424668564</v>
      </c>
      <c r="Q33" s="37">
        <f>'Owner Occupier'!$H$30</f>
        <v>3.5000000000000003E-2</v>
      </c>
      <c r="R33" s="38">
        <f>'Owner Occupier'!$D$24</f>
        <v>405990</v>
      </c>
      <c r="S33" s="38">
        <f>'Owner Occupier'!$D$40</f>
        <v>391780.35</v>
      </c>
      <c r="T33" s="39">
        <f t="shared" si="1"/>
        <v>621800.93028712994</v>
      </c>
      <c r="U33" s="39">
        <f>S33-_xlfn.XLOOKUP($M33*12,'FHA Amotization'!$A$4:$A$363,'FHA Amotization'!$E$4:$E$363,0,0,1)</f>
        <v>326745.67288964766</v>
      </c>
      <c r="V33" s="39">
        <f>(R33+T33)*'Owner Occupier'!$H$35</f>
        <v>71945.365120099101</v>
      </c>
      <c r="W33" s="36">
        <f t="shared" si="2"/>
        <v>-508310.88770348567</v>
      </c>
    </row>
    <row r="34" spans="1:23">
      <c r="A34" s="10"/>
      <c r="B34" s="44" t="s">
        <v>32</v>
      </c>
      <c r="C34" s="44"/>
      <c r="D34" s="50">
        <f>Summary!E8</f>
        <v>405990</v>
      </c>
      <c r="E34" s="45"/>
      <c r="F34" s="43"/>
      <c r="G34" s="56" t="s">
        <v>101</v>
      </c>
      <c r="H34" s="58">
        <f>_xlfn.XLOOKUP($H$31*12,'FHA Amotization'!A4:A363,'FHA Amotization'!G4:G363,0,0,1)</f>
        <v>63095.644977594951</v>
      </c>
      <c r="I34" s="71"/>
      <c r="M34" s="30">
        <v>28</v>
      </c>
      <c r="N34" s="34">
        <f t="shared" si="3"/>
        <v>930821.1374870307</v>
      </c>
      <c r="O34" s="35">
        <f>N34/P34/M34</f>
        <v>1.2843403076313511</v>
      </c>
      <c r="P34" s="36">
        <f>'Owner Occupier'!$D$38</f>
        <v>25883.803424668564</v>
      </c>
      <c r="Q34" s="37">
        <f>'Owner Occupier'!$H$30</f>
        <v>3.5000000000000003E-2</v>
      </c>
      <c r="R34" s="38">
        <f>'Owner Occupier'!$D$24</f>
        <v>405990</v>
      </c>
      <c r="S34" s="38">
        <f>'Owner Occupier'!$D$40</f>
        <v>391780.35</v>
      </c>
      <c r="T34" s="39">
        <f t="shared" si="1"/>
        <v>657773.61284717941</v>
      </c>
      <c r="U34" s="39">
        <f>S34-_xlfn.XLOOKUP($M34*12,'FHA Amotization'!$A$4:$A$363,'FHA Amotization'!$E$4:$E$363,0,0,1)</f>
        <v>347510.97753915389</v>
      </c>
      <c r="V34" s="39">
        <f>(R34+T34)*'Owner Occupier'!$H$35</f>
        <v>74463.45289930256</v>
      </c>
      <c r="W34" s="36">
        <f t="shared" si="2"/>
        <v>-527137.21687768889</v>
      </c>
    </row>
    <row r="35" spans="1:23">
      <c r="A35" s="10"/>
      <c r="B35" s="44" t="s">
        <v>63</v>
      </c>
      <c r="C35" s="84">
        <f>Summary!E9</f>
        <v>3.5000000000000003E-2</v>
      </c>
      <c r="D35" s="52">
        <f>C35*D34</f>
        <v>14209.650000000001</v>
      </c>
      <c r="E35" s="45"/>
      <c r="F35" s="43"/>
      <c r="G35" s="44" t="s">
        <v>64</v>
      </c>
      <c r="H35" s="51">
        <v>7.0000000000000007E-2</v>
      </c>
      <c r="I35" s="45"/>
      <c r="M35" s="30">
        <v>29</v>
      </c>
      <c r="N35" s="34">
        <f t="shared" si="3"/>
        <v>987111.86861669552</v>
      </c>
      <c r="O35" s="35">
        <f>N35/P35/M35</f>
        <v>1.3150439963814278</v>
      </c>
      <c r="P35" s="36">
        <f>'Owner Occupier'!$D$38</f>
        <v>25883.803424668564</v>
      </c>
      <c r="Q35" s="37">
        <f>'Owner Occupier'!$H$30</f>
        <v>3.5000000000000003E-2</v>
      </c>
      <c r="R35" s="38">
        <f>'Owner Occupier'!$D$24</f>
        <v>405990</v>
      </c>
      <c r="S35" s="38">
        <f>'Owner Occupier'!$D$40</f>
        <v>391780.35</v>
      </c>
      <c r="T35" s="39">
        <f t="shared" si="1"/>
        <v>695005.33929683059</v>
      </c>
      <c r="U35" s="39">
        <f>S35-_xlfn.XLOOKUP($M35*12,'FHA Amotization'!$A$4:$A$363,'FHA Amotization'!$E$4:$E$363,0,0,1)</f>
        <v>369176.20307064313</v>
      </c>
      <c r="V35" s="39">
        <f>(R35+T35)*'Owner Occupier'!$H$35</f>
        <v>77069.673750778151</v>
      </c>
      <c r="W35" s="36">
        <f t="shared" si="2"/>
        <v>-545963.54605189199</v>
      </c>
    </row>
    <row r="36" spans="1:23">
      <c r="A36" s="10"/>
      <c r="B36" s="44" t="s">
        <v>104</v>
      </c>
      <c r="C36" s="44"/>
      <c r="D36" s="52">
        <f>'Closing Costs'!C28</f>
        <v>11674.153424668562</v>
      </c>
      <c r="E36" s="60"/>
      <c r="F36" s="43"/>
      <c r="G36" s="44" t="s">
        <v>46</v>
      </c>
      <c r="H36" s="52">
        <f>(D34+H32)*$H$35</f>
        <v>47612.24102579485</v>
      </c>
      <c r="I36" s="45"/>
      <c r="M36" s="30">
        <v>30</v>
      </c>
      <c r="N36" s="34">
        <f t="shared" si="3"/>
        <v>1045553.4138401642</v>
      </c>
      <c r="O36" s="35">
        <f>N36/P36/M36</f>
        <v>1.3464706051709276</v>
      </c>
      <c r="P36" s="36">
        <f>'Owner Occupier'!$D$38</f>
        <v>25883.803424668564</v>
      </c>
      <c r="Q36" s="37">
        <f>'Owner Occupier'!$H$30</f>
        <v>3.5000000000000003E-2</v>
      </c>
      <c r="R36" s="38">
        <f>'Owner Occupier'!$D$24</f>
        <v>405990</v>
      </c>
      <c r="S36" s="38">
        <f>'Owner Occupier'!$D$40</f>
        <v>391780.35</v>
      </c>
      <c r="T36" s="39">
        <f t="shared" si="1"/>
        <v>733540.17617221968</v>
      </c>
      <c r="U36" s="39">
        <f>S36-_xlfn.XLOOKUP($M36*12,'FHA Amotization'!$A$4:$A$363,'FHA Amotization'!$E$4:$E$363,0,0,1)</f>
        <v>391780.34999999992</v>
      </c>
      <c r="V36" s="39">
        <f>(R36+T36)*'Owner Occupier'!$H$35</f>
        <v>79767.112332055389</v>
      </c>
      <c r="W36" s="36">
        <f t="shared" si="2"/>
        <v>-564789.8752260952</v>
      </c>
    </row>
    <row r="37" spans="1:23">
      <c r="A37" s="10"/>
      <c r="B37" s="44" t="s">
        <v>67</v>
      </c>
      <c r="C37" s="44"/>
      <c r="D37" s="50">
        <v>0</v>
      </c>
      <c r="E37" s="45"/>
      <c r="F37" s="43"/>
      <c r="G37" s="56" t="s">
        <v>40</v>
      </c>
      <c r="H37" s="58">
        <f>+H32+H34-H36</f>
        <v>289668.27574886929</v>
      </c>
      <c r="I37" s="45"/>
      <c r="K37" s="2"/>
    </row>
    <row r="38" spans="1:23">
      <c r="A38" s="10"/>
      <c r="B38" s="56" t="s">
        <v>96</v>
      </c>
      <c r="C38" s="56"/>
      <c r="D38" s="61">
        <f>SUM(D35:D37)</f>
        <v>25883.803424668564</v>
      </c>
      <c r="E38" s="45"/>
      <c r="F38" s="43"/>
      <c r="G38" s="56" t="s">
        <v>59</v>
      </c>
      <c r="H38" s="88">
        <f>H37/D38/H31</f>
        <v>0.74607344471073334</v>
      </c>
      <c r="I38" s="45"/>
      <c r="N38" s="34"/>
    </row>
    <row r="39" spans="1:23" ht="17.25">
      <c r="A39" s="10"/>
      <c r="B39" s="46" t="s">
        <v>84</v>
      </c>
      <c r="C39" s="46"/>
      <c r="D39" s="48" t="s">
        <v>50</v>
      </c>
      <c r="E39" s="48" t="s">
        <v>51</v>
      </c>
      <c r="F39" s="43"/>
      <c r="G39" s="10"/>
      <c r="H39" s="10"/>
      <c r="I39" s="45"/>
    </row>
    <row r="40" spans="1:23" ht="17.25">
      <c r="A40" s="10"/>
      <c r="B40" s="44" t="s">
        <v>43</v>
      </c>
      <c r="C40" s="44"/>
      <c r="D40" s="52">
        <f>D34-D35</f>
        <v>391780.35</v>
      </c>
      <c r="E40" s="45"/>
      <c r="F40" s="43"/>
      <c r="G40" s="46" t="s">
        <v>78</v>
      </c>
      <c r="H40" s="48"/>
      <c r="I40" s="48"/>
    </row>
    <row r="41" spans="1:23">
      <c r="A41" s="10"/>
      <c r="B41" s="44" t="s">
        <v>85</v>
      </c>
      <c r="C41" s="44"/>
      <c r="D41" s="63">
        <f>Summary!E10</f>
        <v>4.2500000000000003E-2</v>
      </c>
      <c r="E41" s="45"/>
      <c r="F41" s="43"/>
      <c r="G41" s="56" t="s">
        <v>79</v>
      </c>
      <c r="H41" s="66"/>
      <c r="I41" s="58">
        <f>((D34-68000)/27.5)*0.5</f>
        <v>6145.272727272727</v>
      </c>
    </row>
    <row r="42" spans="1:23">
      <c r="A42" s="10"/>
      <c r="B42" s="44" t="s">
        <v>86</v>
      </c>
      <c r="C42" s="44"/>
      <c r="D42" s="55">
        <v>30</v>
      </c>
      <c r="E42" s="45"/>
      <c r="F42" s="43"/>
      <c r="G42" s="10"/>
      <c r="H42" s="10"/>
      <c r="I42" s="10"/>
    </row>
    <row r="43" spans="1:23" ht="17.25">
      <c r="A43" s="10"/>
      <c r="B43" s="56" t="s">
        <v>87</v>
      </c>
      <c r="C43" s="56"/>
      <c r="D43" s="61">
        <f>-PMT(D41/12,D42*12,$D$40,0,0)</f>
        <v>1927.3238270608197</v>
      </c>
      <c r="E43" s="59">
        <f>D43*12</f>
        <v>23127.885924729835</v>
      </c>
      <c r="F43" s="43"/>
      <c r="G43" s="46" t="s">
        <v>91</v>
      </c>
      <c r="H43" s="48"/>
      <c r="I43" s="48"/>
    </row>
    <row r="44" spans="1:23" ht="17.25">
      <c r="A44" s="10"/>
      <c r="B44" s="46" t="s">
        <v>68</v>
      </c>
      <c r="C44" s="46"/>
      <c r="D44" s="48" t="s">
        <v>50</v>
      </c>
      <c r="E44" s="48" t="s">
        <v>51</v>
      </c>
      <c r="F44" s="43"/>
      <c r="G44" s="44" t="s">
        <v>92</v>
      </c>
      <c r="H44" s="44"/>
      <c r="I44" s="67">
        <v>6</v>
      </c>
    </row>
    <row r="45" spans="1:23">
      <c r="A45" s="10"/>
      <c r="B45" s="44" t="s">
        <v>88</v>
      </c>
      <c r="C45" s="44"/>
      <c r="D45" s="52">
        <f>D43</f>
        <v>1927.3238270608197</v>
      </c>
      <c r="E45" s="53">
        <f>E43</f>
        <v>23127.885924729835</v>
      </c>
      <c r="F45" s="43"/>
      <c r="G45" s="56" t="s">
        <v>91</v>
      </c>
      <c r="H45" s="68"/>
      <c r="I45" s="58">
        <f>MIN((D56-D52-D54),3500)*I44*0.5</f>
        <v>8672.912293550793</v>
      </c>
    </row>
    <row r="46" spans="1:23">
      <c r="A46" s="10"/>
      <c r="B46" s="44" t="s">
        <v>69</v>
      </c>
      <c r="C46" s="82">
        <v>2.0030539999999999E-2</v>
      </c>
      <c r="D46" s="52">
        <f>C46*0.9*D34/12</f>
        <v>609.91492009499996</v>
      </c>
      <c r="E46" s="53">
        <f>D46*12</f>
        <v>7318.979041139999</v>
      </c>
      <c r="F46" s="43"/>
      <c r="G46" s="10"/>
      <c r="H46" s="10"/>
      <c r="I46" s="10"/>
    </row>
    <row r="47" spans="1:23">
      <c r="A47" s="10"/>
      <c r="B47" s="44" t="s">
        <v>105</v>
      </c>
      <c r="C47" s="44"/>
      <c r="D47" s="72">
        <f>E47/12</f>
        <v>81.620906250000004</v>
      </c>
      <c r="E47" s="74">
        <f>0.0025*D40</f>
        <v>979.450875</v>
      </c>
      <c r="F47" s="43"/>
      <c r="G47" s="10"/>
      <c r="H47" s="10"/>
      <c r="I47" s="10"/>
    </row>
    <row r="48" spans="1:23">
      <c r="A48" s="10"/>
      <c r="B48" s="44" t="s">
        <v>71</v>
      </c>
      <c r="C48" s="44"/>
      <c r="D48" s="50">
        <v>105</v>
      </c>
      <c r="E48" s="53">
        <f>D48*12</f>
        <v>1260</v>
      </c>
      <c r="F48" s="43"/>
      <c r="G48" s="10"/>
      <c r="H48" s="10"/>
      <c r="I48" s="10"/>
    </row>
    <row r="49" spans="1:9">
      <c r="A49" s="10"/>
      <c r="B49" s="56" t="s">
        <v>90</v>
      </c>
      <c r="C49" s="1"/>
      <c r="D49" s="61">
        <f>SUM(D45:D48)</f>
        <v>2723.8596534058197</v>
      </c>
      <c r="E49" s="83">
        <f>SUM(E45:E48)</f>
        <v>32686.315840869833</v>
      </c>
      <c r="F49" s="43"/>
      <c r="G49" s="10"/>
      <c r="H49" s="10"/>
      <c r="I49" s="10"/>
    </row>
    <row r="50" spans="1:9">
      <c r="A50" s="10"/>
      <c r="B50" s="44"/>
      <c r="D50" s="55"/>
      <c r="E50" s="54"/>
      <c r="F50" s="43"/>
      <c r="G50" s="10"/>
      <c r="H50" s="10"/>
      <c r="I50" s="10"/>
    </row>
    <row r="51" spans="1:9">
      <c r="A51" s="10"/>
      <c r="B51" s="44" t="s">
        <v>73</v>
      </c>
      <c r="C51" s="44"/>
      <c r="D51" s="50">
        <f>1000/12</f>
        <v>83.333333333333329</v>
      </c>
      <c r="E51" s="53">
        <f>D51*12</f>
        <v>1000</v>
      </c>
      <c r="F51" s="43"/>
      <c r="G51" s="10"/>
      <c r="H51" s="10"/>
      <c r="I51" s="10"/>
    </row>
    <row r="52" spans="1:9">
      <c r="A52" s="10"/>
      <c r="B52" s="44" t="s">
        <v>74</v>
      </c>
      <c r="C52" s="81">
        <v>0.06</v>
      </c>
      <c r="D52" s="52">
        <f>(H24-D54)*C52</f>
        <v>84.39</v>
      </c>
      <c r="E52" s="53">
        <f>D52*12</f>
        <v>1012.6800000000001</v>
      </c>
      <c r="F52" s="43"/>
      <c r="G52" s="10"/>
      <c r="H52" s="10"/>
      <c r="I52" s="10"/>
    </row>
    <row r="53" spans="1:9">
      <c r="A53" s="10"/>
      <c r="B53" s="44" t="s">
        <v>106</v>
      </c>
      <c r="C53" s="81">
        <v>0.5</v>
      </c>
      <c r="D53" s="52">
        <f>(C53*H24)/18</f>
        <v>40.277777777777779</v>
      </c>
      <c r="E53" s="53">
        <f>D53*12</f>
        <v>483.33333333333337</v>
      </c>
      <c r="F53" s="43"/>
      <c r="G53" s="10"/>
      <c r="H53" s="10"/>
      <c r="I53" s="10"/>
    </row>
    <row r="54" spans="1:9">
      <c r="A54" s="10"/>
      <c r="B54" s="44" t="s">
        <v>76</v>
      </c>
      <c r="C54" s="81">
        <v>0.03</v>
      </c>
      <c r="D54" s="52">
        <f>C54*H24</f>
        <v>43.5</v>
      </c>
      <c r="E54" s="53">
        <f>D54*12</f>
        <v>522</v>
      </c>
      <c r="F54" s="43"/>
      <c r="G54" s="10"/>
      <c r="H54" s="10"/>
      <c r="I54" s="10"/>
    </row>
    <row r="55" spans="1:9">
      <c r="A55" s="10"/>
      <c r="B55" s="44" t="s">
        <v>94</v>
      </c>
      <c r="C55" s="81">
        <v>0.03</v>
      </c>
      <c r="D55" s="52">
        <f>C55*H24</f>
        <v>43.5</v>
      </c>
      <c r="E55" s="53">
        <f>D55*12</f>
        <v>522</v>
      </c>
      <c r="F55" s="43"/>
      <c r="G55" s="10"/>
      <c r="H55" s="10"/>
      <c r="I55" s="10"/>
    </row>
    <row r="56" spans="1:9">
      <c r="A56" s="10"/>
      <c r="B56" s="56" t="s">
        <v>54</v>
      </c>
      <c r="C56" s="56"/>
      <c r="D56" s="58">
        <f>SUM(D49:D55)</f>
        <v>3018.8607645169309</v>
      </c>
      <c r="E56" s="58">
        <f>SUM(E49:E55)</f>
        <v>36226.329174203172</v>
      </c>
      <c r="F56" s="43"/>
      <c r="G56" s="10"/>
      <c r="H56" s="10"/>
      <c r="I56" s="10"/>
    </row>
    <row r="57" spans="1:9">
      <c r="A57" s="10"/>
      <c r="B57" s="56"/>
      <c r="C57" s="10"/>
      <c r="D57" s="87"/>
      <c r="E57" s="87"/>
      <c r="F57" s="43"/>
      <c r="G57" s="10"/>
      <c r="H57" s="10"/>
      <c r="I57" s="10"/>
    </row>
    <row r="58" spans="1:9">
      <c r="A58" s="10"/>
      <c r="B58" s="56"/>
      <c r="C58" s="10"/>
      <c r="D58" s="87"/>
      <c r="E58" s="87"/>
      <c r="F58" s="43"/>
      <c r="G58" s="10"/>
      <c r="H58" s="10"/>
      <c r="I58" s="10"/>
    </row>
    <row r="59" spans="1:9">
      <c r="A59" s="10"/>
      <c r="B59" s="18" t="s">
        <v>80</v>
      </c>
      <c r="C59" s="18"/>
      <c r="D59" s="17"/>
      <c r="E59" s="16"/>
      <c r="F59" s="10"/>
      <c r="G59" s="10"/>
      <c r="H59" s="10"/>
      <c r="I59" s="10"/>
    </row>
    <row r="60" spans="1:9" ht="55.9" customHeight="1">
      <c r="A60" s="10"/>
      <c r="B60" s="112" t="s">
        <v>81</v>
      </c>
      <c r="C60" s="112"/>
      <c r="D60" s="112"/>
      <c r="E60" s="112"/>
      <c r="F60" s="112"/>
      <c r="G60" s="112"/>
      <c r="H60" s="112"/>
      <c r="I60" s="112"/>
    </row>
    <row r="61" spans="1:9" ht="17.25">
      <c r="A61" s="10"/>
      <c r="B61" s="111" t="s">
        <v>37</v>
      </c>
      <c r="C61" s="111"/>
      <c r="D61" s="111"/>
      <c r="E61" s="111"/>
      <c r="F61" s="111"/>
      <c r="G61" s="111"/>
      <c r="H61" s="111"/>
      <c r="I61" s="111"/>
    </row>
    <row r="62" spans="1:9">
      <c r="F62" s="10"/>
    </row>
    <row r="63" spans="1:9">
      <c r="F63" s="10"/>
    </row>
    <row r="64" spans="1:9">
      <c r="F64" s="10"/>
    </row>
    <row r="65" spans="6:6">
      <c r="F65" s="10"/>
    </row>
    <row r="66" spans="6:6">
      <c r="F66" s="10"/>
    </row>
    <row r="67" spans="6:6">
      <c r="F67" s="10"/>
    </row>
    <row r="68" spans="6:6">
      <c r="F68" s="10"/>
    </row>
    <row r="69" spans="6:6">
      <c r="F69" s="10"/>
    </row>
  </sheetData>
  <sheetProtection selectLockedCells="1"/>
  <mergeCells count="6">
    <mergeCell ref="B61:I61"/>
    <mergeCell ref="B60:I60"/>
    <mergeCell ref="B1:I1"/>
    <mergeCell ref="B2:I2"/>
    <mergeCell ref="B3:I3"/>
    <mergeCell ref="B4:I4"/>
  </mergeCells>
  <pageMargins left="0.7" right="0.7" top="0.75" bottom="0.75" header="0.3" footer="0.3"/>
  <pageSetup scale="51"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2D145C42-4DA8-4B53-8E16-A650A69D3554}">
          <x14:formula1>
            <xm:f>DAta!$A$2:$A$23</xm:f>
          </x14:formula1>
          <xm:sqref>C35</xm:sqref>
        </x14:dataValidation>
        <x14:dataValidation type="list" allowBlank="1" showInputMessage="1" showErrorMessage="1" xr:uid="{78EA05F8-9551-4453-865B-AE6AA2E044AA}">
          <x14:formula1>
            <xm:f>DAta!$C$2:$C$11</xm:f>
          </x14:formula1>
          <xm:sqref>C54</xm:sqref>
        </x14:dataValidation>
        <x14:dataValidation type="list" allowBlank="1" showInputMessage="1" showErrorMessage="1" xr:uid="{4A93B6CD-B338-45C7-B425-89FF9464AD9E}">
          <x14:formula1>
            <xm:f>DAta!$E$2:$E$11</xm:f>
          </x14:formula1>
          <xm:sqref>C55</xm:sqref>
        </x14:dataValidation>
        <x14:dataValidation type="list" allowBlank="1" showInputMessage="1" showErrorMessage="1" xr:uid="{E43978D7-47AE-4B52-A406-915F8A794452}">
          <x14:formula1>
            <xm:f>DAta!$H$2:$H$31</xm:f>
          </x14:formula1>
          <xm:sqref>H31</xm:sqref>
        </x14:dataValidation>
        <x14:dataValidation type="list" allowBlank="1" showInputMessage="1" showErrorMessage="1" xr:uid="{C81CACBD-755A-487D-8C73-B1DF00AE9602}">
          <x14:formula1>
            <xm:f>DAta!$F$2:$F$12</xm:f>
          </x14:formula1>
          <xm:sqref>C52</xm:sqref>
        </x14:dataValidation>
        <x14:dataValidation type="list" allowBlank="1" showInputMessage="1" showErrorMessage="1" xr:uid="{C28D86BE-7283-47DE-B2DB-52AE6FA46654}">
          <x14:formula1>
            <xm:f>DAta!$H$2:$H$7</xm:f>
          </x14:formula1>
          <xm:sqref>I44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E144C-EF48-4C59-BF01-2FEB3ECCCD4C}">
  <sheetPr codeName="Sheet2"/>
  <dimension ref="A1:C31"/>
  <sheetViews>
    <sheetView topLeftCell="A3" workbookViewId="0">
      <selection activeCell="G26" sqref="G26"/>
    </sheetView>
  </sheetViews>
  <sheetFormatPr defaultRowHeight="14.25"/>
  <cols>
    <col min="1" max="1" width="40.28515625" bestFit="1" customWidth="1"/>
    <col min="2" max="2" width="4.85546875" customWidth="1"/>
    <col min="3" max="3" width="17.28515625" bestFit="1" customWidth="1"/>
    <col min="5" max="5" width="11" bestFit="1" customWidth="1"/>
    <col min="7" max="7" width="11" bestFit="1" customWidth="1"/>
  </cols>
  <sheetData>
    <row r="1" spans="1:3" ht="15.75" customHeight="1">
      <c r="A1" s="7" t="s">
        <v>107</v>
      </c>
      <c r="B1" s="7"/>
      <c r="C1" s="7"/>
    </row>
    <row r="2" spans="1:3" ht="15.75" customHeight="1">
      <c r="A2" s="69"/>
      <c r="B2" s="69"/>
      <c r="C2" s="69"/>
    </row>
    <row r="3" spans="1:3" ht="15.4">
      <c r="A3" s="17" t="s">
        <v>108</v>
      </c>
      <c r="B3" s="11"/>
      <c r="C3" s="21">
        <v>895</v>
      </c>
    </row>
    <row r="4" spans="1:3">
      <c r="A4" s="17" t="s">
        <v>109</v>
      </c>
      <c r="B4" s="13"/>
      <c r="C4" s="21">
        <v>605</v>
      </c>
    </row>
    <row r="5" spans="1:3">
      <c r="A5" s="17" t="s">
        <v>110</v>
      </c>
      <c r="B5" s="10"/>
      <c r="C5" s="21">
        <v>70</v>
      </c>
    </row>
    <row r="6" spans="1:3" ht="15.4">
      <c r="A6" s="24" t="s">
        <v>111</v>
      </c>
      <c r="B6" s="11"/>
      <c r="C6" s="27">
        <f>SUM(C3:C5)</f>
        <v>1570</v>
      </c>
    </row>
    <row r="7" spans="1:3" ht="15.4">
      <c r="A7" s="11"/>
      <c r="B7" s="11"/>
      <c r="C7" s="25"/>
    </row>
    <row r="8" spans="1:3" ht="15.4">
      <c r="A8" s="17" t="str">
        <f>IF(K25="No","Appraisal Pd Outside of Closing","Appraisal Fee ")</f>
        <v xml:space="preserve">Appraisal Fee </v>
      </c>
      <c r="B8" s="11"/>
      <c r="C8" s="21">
        <v>675</v>
      </c>
    </row>
    <row r="9" spans="1:3" ht="15.4">
      <c r="A9" s="17" t="s">
        <v>112</v>
      </c>
      <c r="B9" s="11"/>
      <c r="C9" s="21">
        <v>100</v>
      </c>
    </row>
    <row r="10" spans="1:3" ht="15.4">
      <c r="A10" s="17" t="s">
        <v>113</v>
      </c>
      <c r="B10" s="11"/>
      <c r="C10" s="21">
        <v>94</v>
      </c>
    </row>
    <row r="11" spans="1:3" ht="15.4">
      <c r="A11" s="17" t="s">
        <v>114</v>
      </c>
      <c r="B11" s="11"/>
      <c r="C11" s="21">
        <v>142</v>
      </c>
    </row>
    <row r="12" spans="1:3" ht="15.4">
      <c r="A12" s="17" t="s">
        <v>115</v>
      </c>
      <c r="B12" s="11"/>
      <c r="C12" s="21">
        <v>950</v>
      </c>
    </row>
    <row r="13" spans="1:3" ht="15.4">
      <c r="A13" s="17" t="s">
        <v>116</v>
      </c>
      <c r="B13" s="11"/>
      <c r="C13" s="21">
        <v>2940</v>
      </c>
    </row>
    <row r="14" spans="1:3" ht="15.4">
      <c r="A14" s="17" t="s">
        <v>117</v>
      </c>
      <c r="B14" s="11"/>
      <c r="C14" s="21">
        <v>560.44000000000005</v>
      </c>
    </row>
    <row r="15" spans="1:3" ht="15.4">
      <c r="A15" s="17" t="s">
        <v>118</v>
      </c>
      <c r="B15" s="11"/>
      <c r="C15" s="21">
        <v>800</v>
      </c>
    </row>
    <row r="16" spans="1:3" ht="15.4">
      <c r="A16" s="24" t="s">
        <v>119</v>
      </c>
      <c r="B16" s="19"/>
      <c r="C16" s="27">
        <f>SUM(C6:C15)</f>
        <v>7831.4400000000005</v>
      </c>
    </row>
    <row r="17" spans="1:3" ht="15.4">
      <c r="A17" s="12"/>
      <c r="B17" s="19"/>
      <c r="C17" s="26"/>
    </row>
    <row r="18" spans="1:3">
      <c r="A18" s="17" t="s">
        <v>120</v>
      </c>
      <c r="B18" s="10"/>
      <c r="C18" s="21">
        <f>(('With Loan'!D40*'With Loan'!D41)/365)*15</f>
        <v>437.96866438356159</v>
      </c>
    </row>
    <row r="19" spans="1:3">
      <c r="A19" s="17" t="s">
        <v>121</v>
      </c>
      <c r="B19" s="10"/>
      <c r="C19" s="21">
        <f>'With Loan'!E47</f>
        <v>1260</v>
      </c>
    </row>
    <row r="20" spans="1:3">
      <c r="A20" s="17" t="s">
        <v>122</v>
      </c>
      <c r="B20" s="10"/>
      <c r="C20" s="21">
        <f>((C19+'With Loan'!E46)/12)*3</f>
        <v>2144.7447602849998</v>
      </c>
    </row>
    <row r="21" spans="1:3" ht="15.4">
      <c r="A21" s="24" t="s">
        <v>123</v>
      </c>
      <c r="B21" s="19"/>
      <c r="C21" s="27">
        <f>SUM(C18:C20)</f>
        <v>3842.7134246685614</v>
      </c>
    </row>
    <row r="22" spans="1:3" ht="15.4">
      <c r="A22" s="11"/>
      <c r="B22" s="10"/>
      <c r="C22" s="20"/>
    </row>
    <row r="23" spans="1:3" ht="15.4">
      <c r="A23" s="24" t="s">
        <v>124</v>
      </c>
      <c r="B23" s="19"/>
      <c r="C23" s="27">
        <f>C21+C16</f>
        <v>11674.153424668562</v>
      </c>
    </row>
    <row r="24" spans="1:3">
      <c r="A24" s="10"/>
      <c r="B24" s="10"/>
      <c r="C24" s="10"/>
    </row>
    <row r="25" spans="1:3">
      <c r="A25" s="28" t="s">
        <v>125</v>
      </c>
      <c r="B25" s="10"/>
      <c r="C25" s="22" t="s">
        <v>126</v>
      </c>
    </row>
    <row r="26" spans="1:3" ht="15.4">
      <c r="A26" s="14" t="s">
        <v>127</v>
      </c>
      <c r="B26" s="10"/>
      <c r="C26" s="23"/>
    </row>
    <row r="27" spans="1:3">
      <c r="A27" s="10"/>
      <c r="B27" s="10"/>
      <c r="C27" s="10"/>
    </row>
    <row r="28" spans="1:3" ht="15.4">
      <c r="A28" s="24" t="s">
        <v>128</v>
      </c>
      <c r="B28" s="10"/>
      <c r="C28" s="27">
        <f>IF(C25="Yes",C26,C23)</f>
        <v>11674.153424668562</v>
      </c>
    </row>
    <row r="31" spans="1:3">
      <c r="C31" s="15"/>
    </row>
  </sheetData>
  <protectedRanges>
    <protectedRange sqref="C6:C7" name="Range1_3"/>
  </protectedRange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66F6416-0D3A-477F-9AA9-2FEA442B5FC7}">
          <x14:formula1>
            <xm:f>DAta!$J$2:$J$3</xm:f>
          </x14:formula1>
          <xm:sqref>C25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C670D-753F-41D5-9D46-B694A30EF4E1}">
  <dimension ref="A1:G363"/>
  <sheetViews>
    <sheetView workbookViewId="0">
      <selection activeCell="F4" sqref="F4:F363"/>
    </sheetView>
  </sheetViews>
  <sheetFormatPr defaultRowHeight="14.25"/>
  <cols>
    <col min="2" max="2" width="17.28515625" bestFit="1" customWidth="1"/>
    <col min="3" max="3" width="23.5703125" bestFit="1" customWidth="1"/>
    <col min="4" max="4" width="23.5703125" customWidth="1"/>
    <col min="5" max="5" width="17.28515625" bestFit="1" customWidth="1"/>
    <col min="6" max="6" width="16.28515625" bestFit="1" customWidth="1"/>
    <col min="7" max="7" width="26.5703125" bestFit="1" customWidth="1"/>
  </cols>
  <sheetData>
    <row r="1" spans="1:7" ht="18">
      <c r="A1" s="115" t="s">
        <v>129</v>
      </c>
      <c r="B1" s="115"/>
      <c r="C1" s="115"/>
      <c r="D1" s="5"/>
      <c r="E1" s="5"/>
    </row>
    <row r="2" spans="1:7">
      <c r="E2" s="15"/>
    </row>
    <row r="3" spans="1:7">
      <c r="A3" s="1" t="s">
        <v>130</v>
      </c>
      <c r="B3" s="1" t="s">
        <v>131</v>
      </c>
      <c r="C3" s="1" t="s">
        <v>132</v>
      </c>
      <c r="D3" s="1" t="s">
        <v>133</v>
      </c>
      <c r="E3" s="1" t="s">
        <v>134</v>
      </c>
      <c r="F3" s="1" t="s">
        <v>135</v>
      </c>
      <c r="G3" s="1" t="s">
        <v>136</v>
      </c>
    </row>
    <row r="4" spans="1:7">
      <c r="A4">
        <v>1</v>
      </c>
      <c r="B4" s="4">
        <f>-PPMT('Owner Occupier'!$D$41/12,'FHA Amotization'!$A4,360,'Owner Occupier'!$D$40,0,0)</f>
        <v>539.76842081081963</v>
      </c>
      <c r="C4" s="4">
        <f>-IPMT('Owner Occupier'!$D$41/12,'FHA Amotization'!$A4,360,'Owner Occupier'!$D$40,0,0)</f>
        <v>1387.55540625</v>
      </c>
      <c r="D4" s="4">
        <f>B4+C4</f>
        <v>1927.3238270608197</v>
      </c>
      <c r="E4" s="4">
        <f>'Owner Occupier'!$D$40-'FHA Amotization'!B4</f>
        <v>391240.58157918917</v>
      </c>
      <c r="F4" s="4">
        <f>('Owner Occupier'!$H$24-'Owner Occupier'!$D$52)/('Owner Occupier'!$D$56-'Owner Occupier'!$D$52)*B4</f>
        <v>251.19117288762837</v>
      </c>
      <c r="G4" s="4">
        <f>F4</f>
        <v>251.19117288762837</v>
      </c>
    </row>
    <row r="5" spans="1:7">
      <c r="A5">
        <v>2</v>
      </c>
      <c r="B5" s="4">
        <f>-PPMT('Owner Occupier'!$D$41/12,'FHA Amotization'!$A5,360,'Owner Occupier'!$D$40,0,0)</f>
        <v>541.68010063452459</v>
      </c>
      <c r="C5" s="4">
        <f>-IPMT('Owner Occupier'!$D$41/12,'FHA Amotization'!$A5,360,'Owner Occupier'!$D$40,0,0)</f>
        <v>1385.643726426295</v>
      </c>
      <c r="D5" s="4">
        <f t="shared" ref="D5:D68" si="0">B5+C5</f>
        <v>1927.3238270608194</v>
      </c>
      <c r="E5" s="3">
        <f>E4-B5</f>
        <v>390698.90147855465</v>
      </c>
      <c r="F5" s="4">
        <f>('Owner Occupier'!$H$24-'Owner Occupier'!$D$52)/('Owner Occupier'!$D$56-'Owner Occupier'!$D$52)*B5</f>
        <v>252.08080829160536</v>
      </c>
      <c r="G5" s="4">
        <f>F5+G4</f>
        <v>503.27198117923376</v>
      </c>
    </row>
    <row r="6" spans="1:7">
      <c r="A6">
        <v>3</v>
      </c>
      <c r="B6" s="4">
        <f>-PPMT('Owner Occupier'!$D$41/12,'FHA Amotization'!$A6,360,'Owner Occupier'!$D$40,0,0)</f>
        <v>543.59855099093852</v>
      </c>
      <c r="C6" s="4">
        <f>-IPMT('Owner Occupier'!$D$41/12,'FHA Amotization'!$A6,360,'Owner Occupier'!$D$40,0,0)</f>
        <v>1383.7252760698811</v>
      </c>
      <c r="D6" s="4">
        <f t="shared" si="0"/>
        <v>1927.3238270608197</v>
      </c>
      <c r="E6" s="3">
        <f t="shared" ref="E6:E69" si="1">E5-B6</f>
        <v>390155.30292756372</v>
      </c>
      <c r="F6" s="4">
        <f>('Owner Occupier'!$H$24-'Owner Occupier'!$D$52)/('Owner Occupier'!$D$56-'Owner Occupier'!$D$52)*B6</f>
        <v>252.97359448763814</v>
      </c>
      <c r="G6" s="4">
        <f t="shared" ref="G6:G69" si="2">F6+G5</f>
        <v>756.2455756668719</v>
      </c>
    </row>
    <row r="7" spans="1:7">
      <c r="A7">
        <v>4</v>
      </c>
      <c r="B7" s="4">
        <f>-PPMT('Owner Occupier'!$D$41/12,'FHA Amotization'!$A7,360,'Owner Occupier'!$D$40,0,0)</f>
        <v>545.52379585903145</v>
      </c>
      <c r="C7" s="4">
        <f>-IPMT('Owner Occupier'!$D$41/12,'FHA Amotization'!$A7,360,'Owner Occupier'!$D$40,0,0)</f>
        <v>1381.8000312017882</v>
      </c>
      <c r="D7" s="4">
        <f t="shared" si="0"/>
        <v>1927.3238270608197</v>
      </c>
      <c r="E7" s="3">
        <f t="shared" si="1"/>
        <v>389609.77913170471</v>
      </c>
      <c r="F7" s="4">
        <f>('Owner Occupier'!$H$24-'Owner Occupier'!$D$52)/('Owner Occupier'!$D$56-'Owner Occupier'!$D$52)*B7</f>
        <v>253.86954263478185</v>
      </c>
      <c r="G7" s="4">
        <f t="shared" si="2"/>
        <v>1010.1151183016538</v>
      </c>
    </row>
    <row r="8" spans="1:7">
      <c r="A8">
        <v>5</v>
      </c>
      <c r="B8" s="4">
        <f>-PPMT('Owner Occupier'!$D$41/12,'FHA Amotization'!$A8,360,'Owner Occupier'!$D$40,0,0)</f>
        <v>547.45585930269885</v>
      </c>
      <c r="C8" s="4">
        <f>-IPMT('Owner Occupier'!$D$41/12,'FHA Amotization'!$A8,360,'Owner Occupier'!$D$40,0,0)</f>
        <v>1379.867967758121</v>
      </c>
      <c r="D8" s="4">
        <f t="shared" si="0"/>
        <v>1927.3238270608199</v>
      </c>
      <c r="E8" s="3">
        <f t="shared" si="1"/>
        <v>389062.32327240199</v>
      </c>
      <c r="F8" s="4">
        <f>('Owner Occupier'!$H$24-'Owner Occupier'!$D$52)/('Owner Occupier'!$D$56-'Owner Occupier'!$D$52)*B8</f>
        <v>254.76866393161339</v>
      </c>
      <c r="G8" s="4">
        <f t="shared" si="2"/>
        <v>1264.8837822332671</v>
      </c>
    </row>
    <row r="9" spans="1:7">
      <c r="A9">
        <v>6</v>
      </c>
      <c r="B9" s="4">
        <f>-PPMT('Owner Occupier'!$D$41/12,'FHA Amotization'!$A9,360,'Owner Occupier'!$D$40,0,0)</f>
        <v>549.39476547106244</v>
      </c>
      <c r="C9" s="4">
        <f>-IPMT('Owner Occupier'!$D$41/12,'FHA Amotization'!$A9,360,'Owner Occupier'!$D$40,0,0)</f>
        <v>1377.9290615897571</v>
      </c>
      <c r="D9" s="4">
        <f t="shared" si="0"/>
        <v>1927.3238270608194</v>
      </c>
      <c r="E9" s="3">
        <f t="shared" si="1"/>
        <v>388512.92850693094</v>
      </c>
      <c r="F9" s="4">
        <f>('Owner Occupier'!$H$24-'Owner Occupier'!$D$52)/('Owner Occupier'!$D$56-'Owner Occupier'!$D$52)*B9</f>
        <v>255.67096961637111</v>
      </c>
      <c r="G9" s="4">
        <f t="shared" si="2"/>
        <v>1520.5547518496383</v>
      </c>
    </row>
    <row r="10" spans="1:7">
      <c r="A10">
        <v>7</v>
      </c>
      <c r="B10" s="4">
        <f>-PPMT('Owner Occupier'!$D$41/12,'FHA Amotization'!$A10,360,'Owner Occupier'!$D$40,0,0)</f>
        <v>551.34053859877258</v>
      </c>
      <c r="C10" s="4">
        <f>-IPMT('Owner Occupier'!$D$41/12,'FHA Amotization'!$A10,360,'Owner Occupier'!$D$40,0,0)</f>
        <v>1375.9832884620471</v>
      </c>
      <c r="D10" s="4">
        <f t="shared" si="0"/>
        <v>1927.3238270608197</v>
      </c>
      <c r="E10" s="3">
        <f t="shared" si="1"/>
        <v>387961.58796833217</v>
      </c>
      <c r="F10" s="4">
        <f>('Owner Occupier'!$H$24-'Owner Occupier'!$D$52)/('Owner Occupier'!$D$56-'Owner Occupier'!$D$52)*B10</f>
        <v>256.57647096709582</v>
      </c>
      <c r="G10" s="4">
        <f t="shared" si="2"/>
        <v>1777.131222816734</v>
      </c>
    </row>
    <row r="11" spans="1:7">
      <c r="A11">
        <v>8</v>
      </c>
      <c r="B11" s="4">
        <f>-PPMT('Owner Occupier'!$D$41/12,'FHA Amotization'!$A11,360,'Owner Occupier'!$D$40,0,0)</f>
        <v>553.2932030063098</v>
      </c>
      <c r="C11" s="4">
        <f>-IPMT('Owner Occupier'!$D$41/12,'FHA Amotization'!$A11,360,'Owner Occupier'!$D$40,0,0)</f>
        <v>1374.0306240545099</v>
      </c>
      <c r="D11" s="4">
        <f t="shared" si="0"/>
        <v>1927.3238270608197</v>
      </c>
      <c r="E11" s="3">
        <f t="shared" si="1"/>
        <v>387408.29476532585</v>
      </c>
      <c r="F11" s="4">
        <f>('Owner Occupier'!$H$24-'Owner Occupier'!$D$52)/('Owner Occupier'!$D$56-'Owner Occupier'!$D$52)*B11</f>
        <v>257.48517930177087</v>
      </c>
      <c r="G11" s="4">
        <f t="shared" si="2"/>
        <v>2034.6164021185048</v>
      </c>
    </row>
    <row r="12" spans="1:7">
      <c r="A12">
        <v>9</v>
      </c>
      <c r="B12" s="4">
        <f>-PPMT('Owner Occupier'!$D$41/12,'FHA Amotization'!$A12,360,'Owner Occupier'!$D$40,0,0)</f>
        <v>555.25278310029069</v>
      </c>
      <c r="C12" s="4">
        <f>-IPMT('Owner Occupier'!$D$41/12,'FHA Amotization'!$A12,360,'Owner Occupier'!$D$40,0,0)</f>
        <v>1372.0710439605291</v>
      </c>
      <c r="D12" s="4">
        <f t="shared" si="0"/>
        <v>1927.3238270608199</v>
      </c>
      <c r="E12" s="3">
        <f t="shared" si="1"/>
        <v>386853.04198222555</v>
      </c>
      <c r="F12" s="4">
        <f>('Owner Occupier'!$H$24-'Owner Occupier'!$D$52)/('Owner Occupier'!$D$56-'Owner Occupier'!$D$52)*B12</f>
        <v>258.39710597846477</v>
      </c>
      <c r="G12" s="4">
        <f t="shared" si="2"/>
        <v>2293.0135080969694</v>
      </c>
    </row>
    <row r="13" spans="1:7">
      <c r="A13">
        <v>10</v>
      </c>
      <c r="B13" s="4">
        <f>-PPMT('Owner Occupier'!$D$41/12,'FHA Amotization'!$A13,360,'Owner Occupier'!$D$40,0,0)</f>
        <v>557.2193033737708</v>
      </c>
      <c r="C13" s="4">
        <f>-IPMT('Owner Occupier'!$D$41/12,'FHA Amotization'!$A13,360,'Owner Occupier'!$D$40,0,0)</f>
        <v>1370.1045236870489</v>
      </c>
      <c r="D13" s="4">
        <f t="shared" si="0"/>
        <v>1927.3238270608197</v>
      </c>
      <c r="E13" s="3">
        <f t="shared" si="1"/>
        <v>386295.82267885178</v>
      </c>
      <c r="F13" s="4">
        <f>('Owner Occupier'!$H$24-'Owner Occupier'!$D$52)/('Owner Occupier'!$D$56-'Owner Occupier'!$D$52)*B13</f>
        <v>259.31226239547181</v>
      </c>
      <c r="G13" s="4">
        <f t="shared" si="2"/>
        <v>2552.3257704924413</v>
      </c>
    </row>
    <row r="14" spans="1:7">
      <c r="A14">
        <v>11</v>
      </c>
      <c r="B14" s="4">
        <f>-PPMT('Owner Occupier'!$D$41/12,'FHA Amotization'!$A14,360,'Owner Occupier'!$D$40,0,0)</f>
        <v>559.19278840655295</v>
      </c>
      <c r="C14" s="4">
        <f>-IPMT('Owner Occupier'!$D$41/12,'FHA Amotization'!$A14,360,'Owner Occupier'!$D$40,0,0)</f>
        <v>1368.1310386542666</v>
      </c>
      <c r="D14" s="4">
        <f t="shared" si="0"/>
        <v>1927.3238270608194</v>
      </c>
      <c r="E14" s="3">
        <f t="shared" si="1"/>
        <v>385736.62989044521</v>
      </c>
      <c r="F14" s="4">
        <f>('Owner Occupier'!$H$24-'Owner Occupier'!$D$52)/('Owner Occupier'!$D$56-'Owner Occupier'!$D$52)*B14</f>
        <v>260.23065999145575</v>
      </c>
      <c r="G14" s="4">
        <f t="shared" si="2"/>
        <v>2812.5564304838972</v>
      </c>
    </row>
    <row r="15" spans="1:7">
      <c r="A15">
        <v>12</v>
      </c>
      <c r="B15" s="4">
        <f>-PPMT('Owner Occupier'!$D$41/12,'FHA Amotization'!$A15,360,'Owner Occupier'!$D$40,0,0)</f>
        <v>561.17326286549269</v>
      </c>
      <c r="C15" s="4">
        <f>-IPMT('Owner Occupier'!$D$41/12,'FHA Amotization'!$A15,360,'Owner Occupier'!$D$40,0,0)</f>
        <v>1366.150564195327</v>
      </c>
      <c r="D15" s="4">
        <f t="shared" si="0"/>
        <v>1927.3238270608197</v>
      </c>
      <c r="E15" s="3">
        <f t="shared" si="1"/>
        <v>385175.4566275797</v>
      </c>
      <c r="F15" s="4">
        <f>('Owner Occupier'!$H$24-'Owner Occupier'!$D$52)/('Owner Occupier'!$D$56-'Owner Occupier'!$D$52)*B15</f>
        <v>261.1523102455921</v>
      </c>
      <c r="G15" s="4">
        <f t="shared" si="2"/>
        <v>3073.7087407294894</v>
      </c>
    </row>
    <row r="16" spans="1:7">
      <c r="A16">
        <v>13</v>
      </c>
      <c r="B16" s="4">
        <f>-PPMT('Owner Occupier'!$D$41/12,'FHA Amotization'!$A16,360,'Owner Occupier'!$D$40,0,0)</f>
        <v>563.1607515048081</v>
      </c>
      <c r="C16" s="4">
        <f>-IPMT('Owner Occupier'!$D$41/12,'FHA Amotization'!$A16,360,'Owner Occupier'!$D$40,0,0)</f>
        <v>1364.1630755560116</v>
      </c>
      <c r="D16" s="4">
        <f t="shared" si="0"/>
        <v>1927.3238270608197</v>
      </c>
      <c r="E16" s="3">
        <f t="shared" si="1"/>
        <v>384612.29587607487</v>
      </c>
      <c r="F16" s="4">
        <f>('Owner Occupier'!$H$24-'Owner Occupier'!$D$52)/('Owner Occupier'!$D$56-'Owner Occupier'!$D$52)*B16</f>
        <v>262.07722467771197</v>
      </c>
      <c r="G16" s="4">
        <f t="shared" si="2"/>
        <v>3335.7859654072013</v>
      </c>
    </row>
    <row r="17" spans="1:7">
      <c r="A17">
        <v>14</v>
      </c>
      <c r="B17" s="4">
        <f>-PPMT('Owner Occupier'!$D$41/12,'FHA Amotization'!$A17,360,'Owner Occupier'!$D$40,0,0)</f>
        <v>565.15527916638746</v>
      </c>
      <c r="C17" s="4">
        <f>-IPMT('Owner Occupier'!$D$41/12,'FHA Amotization'!$A17,360,'Owner Occupier'!$D$40,0,0)</f>
        <v>1362.1685478944321</v>
      </c>
      <c r="D17" s="4">
        <f t="shared" si="0"/>
        <v>1927.3238270608194</v>
      </c>
      <c r="E17" s="3">
        <f t="shared" si="1"/>
        <v>384047.14059690846</v>
      </c>
      <c r="F17" s="4">
        <f>('Owner Occupier'!$H$24-'Owner Occupier'!$D$52)/('Owner Occupier'!$D$56-'Owner Occupier'!$D$52)*B17</f>
        <v>263.00541484844547</v>
      </c>
      <c r="G17" s="4">
        <f t="shared" si="2"/>
        <v>3598.7913802556468</v>
      </c>
    </row>
    <row r="18" spans="1:7">
      <c r="A18">
        <v>15</v>
      </c>
      <c r="B18" s="4">
        <f>-PPMT('Owner Occupier'!$D$41/12,'FHA Amotization'!$A18,360,'Owner Occupier'!$D$40,0,0)</f>
        <v>567.15687078010194</v>
      </c>
      <c r="C18" s="4">
        <f>-IPMT('Owner Occupier'!$D$41/12,'FHA Amotization'!$A18,360,'Owner Occupier'!$D$40,0,0)</f>
        <v>1360.1669562807178</v>
      </c>
      <c r="D18" s="4">
        <f t="shared" si="0"/>
        <v>1927.3238270608199</v>
      </c>
      <c r="E18" s="3">
        <f t="shared" si="1"/>
        <v>383479.98372612835</v>
      </c>
      <c r="F18" s="4">
        <f>('Owner Occupier'!$H$24-'Owner Occupier'!$D$52)/('Owner Occupier'!$D$56-'Owner Occupier'!$D$52)*B18</f>
        <v>263.93689235936711</v>
      </c>
      <c r="G18" s="4">
        <f t="shared" si="2"/>
        <v>3862.7282726150138</v>
      </c>
    </row>
    <row r="19" spans="1:7">
      <c r="A19">
        <v>16</v>
      </c>
      <c r="B19" s="4">
        <f>-PPMT('Owner Occupier'!$D$41/12,'FHA Amotization'!$A19,360,'Owner Occupier'!$D$40,0,0)</f>
        <v>569.16555136411466</v>
      </c>
      <c r="C19" s="4">
        <f>-IPMT('Owner Occupier'!$D$41/12,'FHA Amotization'!$A19,360,'Owner Occupier'!$D$40,0,0)</f>
        <v>1358.1582756967048</v>
      </c>
      <c r="D19" s="4">
        <f t="shared" si="0"/>
        <v>1927.3238270608194</v>
      </c>
      <c r="E19" s="3">
        <f t="shared" si="1"/>
        <v>382910.81817476422</v>
      </c>
      <c r="F19" s="4">
        <f>('Owner Occupier'!$H$24-'Owner Occupier'!$D$52)/('Owner Occupier'!$D$56-'Owner Occupier'!$D$52)*B19</f>
        <v>264.87166885313985</v>
      </c>
      <c r="G19" s="4">
        <f t="shared" si="2"/>
        <v>4127.5999414681537</v>
      </c>
    </row>
    <row r="20" spans="1:7">
      <c r="A20">
        <v>17</v>
      </c>
      <c r="B20" s="4">
        <f>-PPMT('Owner Occupier'!$D$41/12,'FHA Amotization'!$A20,360,'Owner Occupier'!$D$40,0,0)</f>
        <v>571.18134602519604</v>
      </c>
      <c r="C20" s="4">
        <f>-IPMT('Owner Occupier'!$D$41/12,'FHA Amotization'!$A20,360,'Owner Occupier'!$D$40,0,0)</f>
        <v>1356.1424810356236</v>
      </c>
      <c r="D20" s="4">
        <f t="shared" si="0"/>
        <v>1927.3238270608197</v>
      </c>
      <c r="E20" s="3">
        <f t="shared" si="1"/>
        <v>382339.63682873902</v>
      </c>
      <c r="F20" s="4">
        <f>('Owner Occupier'!$H$24-'Owner Occupier'!$D$52)/('Owner Occupier'!$D$56-'Owner Occupier'!$D$52)*B20</f>
        <v>265.8097560136614</v>
      </c>
      <c r="G20" s="4">
        <f t="shared" si="2"/>
        <v>4393.4096974818149</v>
      </c>
    </row>
    <row r="21" spans="1:7">
      <c r="A21">
        <v>18</v>
      </c>
      <c r="B21" s="4">
        <f>-PPMT('Owner Occupier'!$D$41/12,'FHA Amotization'!$A21,360,'Owner Occupier'!$D$40,0,0)</f>
        <v>573.20427995903515</v>
      </c>
      <c r="C21" s="4">
        <f>-IPMT('Owner Occupier'!$D$41/12,'FHA Amotization'!$A21,360,'Owner Occupier'!$D$40,0,0)</f>
        <v>1354.1195471017845</v>
      </c>
      <c r="D21" s="4">
        <f t="shared" si="0"/>
        <v>1927.3238270608197</v>
      </c>
      <c r="E21" s="3">
        <f t="shared" si="1"/>
        <v>381766.43254877999</v>
      </c>
      <c r="F21" s="4">
        <f>('Owner Occupier'!$H$24-'Owner Occupier'!$D$52)/('Owner Occupier'!$D$56-'Owner Occupier'!$D$52)*B21</f>
        <v>266.75116556620975</v>
      </c>
      <c r="G21" s="4">
        <f t="shared" si="2"/>
        <v>4660.160863048025</v>
      </c>
    </row>
    <row r="22" spans="1:7">
      <c r="A22">
        <v>19</v>
      </c>
      <c r="B22" s="4">
        <f>-PPMT('Owner Occupier'!$D$41/12,'FHA Amotization'!$A22,360,'Owner Occupier'!$D$40,0,0)</f>
        <v>575.23437845055685</v>
      </c>
      <c r="C22" s="4">
        <f>-IPMT('Owner Occupier'!$D$41/12,'FHA Amotization'!$A22,360,'Owner Occupier'!$D$40,0,0)</f>
        <v>1352.0894486102627</v>
      </c>
      <c r="D22" s="4">
        <f t="shared" si="0"/>
        <v>1927.3238270608194</v>
      </c>
      <c r="E22" s="3">
        <f t="shared" si="1"/>
        <v>381191.19817032944</v>
      </c>
      <c r="F22" s="4">
        <f>('Owner Occupier'!$H$24-'Owner Occupier'!$D$52)/('Owner Occupier'!$D$56-'Owner Occupier'!$D$52)*B22</f>
        <v>267.69590927759015</v>
      </c>
      <c r="G22" s="4">
        <f t="shared" si="2"/>
        <v>4927.8567723256156</v>
      </c>
    </row>
    <row r="23" spans="1:7">
      <c r="A23">
        <v>20</v>
      </c>
      <c r="B23" s="4">
        <f>-PPMT('Owner Occupier'!$D$41/12,'FHA Amotization'!$A23,360,'Owner Occupier'!$D$40,0,0)</f>
        <v>577.27166687423596</v>
      </c>
      <c r="C23" s="4">
        <f>-IPMT('Owner Occupier'!$D$41/12,'FHA Amotization'!$A23,360,'Owner Occupier'!$D$40,0,0)</f>
        <v>1350.0521601865837</v>
      </c>
      <c r="D23" s="4">
        <f t="shared" si="0"/>
        <v>1927.3238270608197</v>
      </c>
      <c r="E23" s="3">
        <f t="shared" si="1"/>
        <v>380613.92650345521</v>
      </c>
      <c r="F23" s="4">
        <f>('Owner Occupier'!$H$24-'Owner Occupier'!$D$52)/('Owner Occupier'!$D$56-'Owner Occupier'!$D$52)*B23</f>
        <v>268.64399895628162</v>
      </c>
      <c r="G23" s="4">
        <f t="shared" si="2"/>
        <v>5196.500771281897</v>
      </c>
    </row>
    <row r="24" spans="1:7">
      <c r="A24">
        <v>21</v>
      </c>
      <c r="B24" s="4">
        <f>-PPMT('Owner Occupier'!$D$41/12,'FHA Amotization'!$A24,360,'Owner Occupier'!$D$40,0,0)</f>
        <v>579.3161706944154</v>
      </c>
      <c r="C24" s="4">
        <f>-IPMT('Owner Occupier'!$D$41/12,'FHA Amotization'!$A24,360,'Owner Occupier'!$D$40,0,0)</f>
        <v>1348.0076563664043</v>
      </c>
      <c r="D24" s="4">
        <f t="shared" si="0"/>
        <v>1927.3238270608197</v>
      </c>
      <c r="E24" s="3">
        <f t="shared" si="1"/>
        <v>380034.61033276079</v>
      </c>
      <c r="F24" s="4">
        <f>('Owner Occupier'!$H$24-'Owner Occupier'!$D$52)/('Owner Occupier'!$D$56-'Owner Occupier'!$D$52)*B24</f>
        <v>269.59544645258507</v>
      </c>
      <c r="G24" s="4">
        <f t="shared" si="2"/>
        <v>5466.0962177344818</v>
      </c>
    </row>
    <row r="25" spans="1:7">
      <c r="A25">
        <v>22</v>
      </c>
      <c r="B25" s="4">
        <f>-PPMT('Owner Occupier'!$D$41/12,'FHA Amotization'!$A25,360,'Owner Occupier'!$D$40,0,0)</f>
        <v>581.36791546562483</v>
      </c>
      <c r="C25" s="4">
        <f>-IPMT('Owner Occupier'!$D$41/12,'FHA Amotization'!$A25,360,'Owner Occupier'!$D$40,0,0)</f>
        <v>1345.9559115951947</v>
      </c>
      <c r="D25" s="4">
        <f t="shared" si="0"/>
        <v>1927.3238270608194</v>
      </c>
      <c r="E25" s="3">
        <f t="shared" si="1"/>
        <v>379453.24241729517</v>
      </c>
      <c r="F25" s="4">
        <f>('Owner Occupier'!$H$24-'Owner Occupier'!$D$52)/('Owner Occupier'!$D$56-'Owner Occupier'!$D$52)*B25</f>
        <v>270.55026365877131</v>
      </c>
      <c r="G25" s="4">
        <f t="shared" si="2"/>
        <v>5736.6464813932535</v>
      </c>
    </row>
    <row r="26" spans="1:7">
      <c r="A26">
        <v>23</v>
      </c>
      <c r="B26" s="4">
        <f>-PPMT('Owner Occupier'!$D$41/12,'FHA Amotization'!$A26,360,'Owner Occupier'!$D$40,0,0)</f>
        <v>583.42692683289897</v>
      </c>
      <c r="C26" s="4">
        <f>-IPMT('Owner Occupier'!$D$41/12,'FHA Amotization'!$A26,360,'Owner Occupier'!$D$40,0,0)</f>
        <v>1343.8969002279207</v>
      </c>
      <c r="D26" s="4">
        <f t="shared" si="0"/>
        <v>1927.3238270608197</v>
      </c>
      <c r="E26" s="3">
        <f t="shared" si="1"/>
        <v>378869.81549046229</v>
      </c>
      <c r="F26" s="4">
        <f>('Owner Occupier'!$H$24-'Owner Occupier'!$D$52)/('Owner Occupier'!$D$56-'Owner Occupier'!$D$52)*B26</f>
        <v>271.5084625092295</v>
      </c>
      <c r="G26" s="4">
        <f t="shared" si="2"/>
        <v>6008.154943902483</v>
      </c>
    </row>
    <row r="27" spans="1:7">
      <c r="A27">
        <v>24</v>
      </c>
      <c r="B27" s="4">
        <f>-PPMT('Owner Occupier'!$D$41/12,'FHA Amotization'!$A27,360,'Owner Occupier'!$D$40,0,0)</f>
        <v>585.49323053209889</v>
      </c>
      <c r="C27" s="4">
        <f>-IPMT('Owner Occupier'!$D$41/12,'FHA Amotization'!$A27,360,'Owner Occupier'!$D$40,0,0)</f>
        <v>1341.8305965287207</v>
      </c>
      <c r="D27" s="4">
        <f t="shared" si="0"/>
        <v>1927.3238270608194</v>
      </c>
      <c r="E27" s="3">
        <f t="shared" si="1"/>
        <v>378284.3222599302</v>
      </c>
      <c r="F27" s="4">
        <f>('Owner Occupier'!$H$24-'Owner Occupier'!$D$52)/('Owner Occupier'!$D$56-'Owner Occupier'!$D$52)*B27</f>
        <v>272.4700549806164</v>
      </c>
      <c r="G27" s="4">
        <f t="shared" si="2"/>
        <v>6280.6249988830996</v>
      </c>
    </row>
    <row r="28" spans="1:7">
      <c r="A28">
        <v>25</v>
      </c>
      <c r="B28" s="4">
        <f>-PPMT('Owner Occupier'!$D$41/12,'FHA Amotization'!$A28,360,'Owner Occupier'!$D$40,0,0)</f>
        <v>587.56685239023329</v>
      </c>
      <c r="C28" s="4">
        <f>-IPMT('Owner Occupier'!$D$41/12,'FHA Amotization'!$A28,360,'Owner Occupier'!$D$40,0,0)</f>
        <v>1339.7569746705865</v>
      </c>
      <c r="D28" s="4">
        <f t="shared" si="0"/>
        <v>1927.3238270608199</v>
      </c>
      <c r="E28" s="3">
        <f t="shared" si="1"/>
        <v>377696.75540753995</v>
      </c>
      <c r="F28" s="4">
        <f>('Owner Occupier'!$H$24-'Owner Occupier'!$D$52)/('Owner Occupier'!$D$56-'Owner Occupier'!$D$52)*B28</f>
        <v>273.435053092006</v>
      </c>
      <c r="G28" s="4">
        <f t="shared" si="2"/>
        <v>6554.060051975106</v>
      </c>
    </row>
    <row r="29" spans="1:7">
      <c r="A29">
        <v>26</v>
      </c>
      <c r="B29" s="4">
        <f>-PPMT('Owner Occupier'!$D$41/12,'FHA Amotization'!$A29,360,'Owner Occupier'!$D$40,0,0)</f>
        <v>589.64781832578217</v>
      </c>
      <c r="C29" s="4">
        <f>-IPMT('Owner Occupier'!$D$41/12,'FHA Amotization'!$A29,360,'Owner Occupier'!$D$40,0,0)</f>
        <v>1337.6760087350374</v>
      </c>
      <c r="D29" s="4">
        <f t="shared" si="0"/>
        <v>1927.3238270608194</v>
      </c>
      <c r="E29" s="3">
        <f t="shared" si="1"/>
        <v>377107.10758921417</v>
      </c>
      <c r="F29" s="4">
        <f>('Owner Occupier'!$H$24-'Owner Occupier'!$D$52)/('Owner Occupier'!$D$56-'Owner Occupier'!$D$52)*B29</f>
        <v>274.40346890504026</v>
      </c>
      <c r="G29" s="4">
        <f t="shared" si="2"/>
        <v>6828.4635208801465</v>
      </c>
    </row>
    <row r="30" spans="1:7">
      <c r="A30">
        <v>27</v>
      </c>
      <c r="B30" s="4">
        <f>-PPMT('Owner Occupier'!$D$41/12,'FHA Amotization'!$A30,360,'Owner Occupier'!$D$40,0,0)</f>
        <v>591.73615434901922</v>
      </c>
      <c r="C30" s="4">
        <f>-IPMT('Owner Occupier'!$D$41/12,'FHA Amotization'!$A30,360,'Owner Occupier'!$D$40,0,0)</f>
        <v>1335.5876727118005</v>
      </c>
      <c r="D30" s="4">
        <f t="shared" si="0"/>
        <v>1927.3238270608197</v>
      </c>
      <c r="E30" s="3">
        <f t="shared" si="1"/>
        <v>376515.37143486517</v>
      </c>
      <c r="F30" s="4">
        <f>('Owner Occupier'!$H$24-'Owner Occupier'!$D$52)/('Owner Occupier'!$D$56-'Owner Occupier'!$D$52)*B30</f>
        <v>275.37531452407887</v>
      </c>
      <c r="G30" s="4">
        <f t="shared" si="2"/>
        <v>7103.8388354042254</v>
      </c>
    </row>
    <row r="31" spans="1:7">
      <c r="A31">
        <v>28</v>
      </c>
      <c r="B31" s="4">
        <f>-PPMT('Owner Occupier'!$D$41/12,'FHA Amotization'!$A31,360,'Owner Occupier'!$D$40,0,0)</f>
        <v>593.8318865623387</v>
      </c>
      <c r="C31" s="4">
        <f>-IPMT('Owner Occupier'!$D$41/12,'FHA Amotization'!$A31,360,'Owner Occupier'!$D$40,0,0)</f>
        <v>1333.4919404984807</v>
      </c>
      <c r="D31" s="4">
        <f t="shared" si="0"/>
        <v>1927.3238270608194</v>
      </c>
      <c r="E31" s="3">
        <f t="shared" si="1"/>
        <v>375921.53954830283</v>
      </c>
      <c r="F31" s="4">
        <f>('Owner Occupier'!$H$24-'Owner Occupier'!$D$52)/('Owner Occupier'!$D$56-'Owner Occupier'!$D$52)*B31</f>
        <v>276.35060209635168</v>
      </c>
      <c r="G31" s="4">
        <f t="shared" si="2"/>
        <v>7380.1894375005768</v>
      </c>
    </row>
    <row r="32" spans="1:7">
      <c r="A32">
        <v>29</v>
      </c>
      <c r="B32" s="4">
        <f>-PPMT('Owner Occupier'!$D$41/12,'FHA Amotization'!$A32,360,'Owner Occupier'!$D$40,0,0)</f>
        <v>595.93504116058023</v>
      </c>
      <c r="C32" s="4">
        <f>-IPMT('Owner Occupier'!$D$41/12,'FHA Amotization'!$A32,360,'Owner Occupier'!$D$40,0,0)</f>
        <v>1331.3887859002393</v>
      </c>
      <c r="D32" s="4">
        <f t="shared" si="0"/>
        <v>1927.3238270608194</v>
      </c>
      <c r="E32" s="3">
        <f t="shared" si="1"/>
        <v>375325.60450714227</v>
      </c>
      <c r="F32" s="4">
        <f>('Owner Occupier'!$H$24-'Owner Occupier'!$D$52)/('Owner Occupier'!$D$56-'Owner Occupier'!$D$52)*B32</f>
        <v>277.32934381210958</v>
      </c>
      <c r="G32" s="4">
        <f t="shared" si="2"/>
        <v>7657.5187813126868</v>
      </c>
    </row>
    <row r="33" spans="1:7">
      <c r="A33">
        <v>30</v>
      </c>
      <c r="B33" s="4">
        <f>-PPMT('Owner Occupier'!$D$41/12,'FHA Amotization'!$A33,360,'Owner Occupier'!$D$40,0,0)</f>
        <v>598.04564443135735</v>
      </c>
      <c r="C33" s="4">
        <f>-IPMT('Owner Occupier'!$D$41/12,'FHA Amotization'!$A33,360,'Owner Occupier'!$D$40,0,0)</f>
        <v>1329.2781826294622</v>
      </c>
      <c r="D33" s="4">
        <f t="shared" si="0"/>
        <v>1927.3238270608194</v>
      </c>
      <c r="E33" s="3">
        <f t="shared" si="1"/>
        <v>374727.5588627109</v>
      </c>
      <c r="F33" s="4">
        <f>('Owner Occupier'!$H$24-'Owner Occupier'!$D$52)/('Owner Occupier'!$D$56-'Owner Occupier'!$D$52)*B33</f>
        <v>278.3115519047775</v>
      </c>
      <c r="G33" s="4">
        <f t="shared" si="2"/>
        <v>7935.8303332174646</v>
      </c>
    </row>
    <row r="34" spans="1:7">
      <c r="A34">
        <v>31</v>
      </c>
      <c r="B34" s="4">
        <f>-PPMT('Owner Occupier'!$D$41/12,'FHA Amotization'!$A34,360,'Owner Occupier'!$D$40,0,0)</f>
        <v>600.16372275538492</v>
      </c>
      <c r="C34" s="4">
        <f>-IPMT('Owner Occupier'!$D$41/12,'FHA Amotization'!$A34,360,'Owner Occupier'!$D$40,0,0)</f>
        <v>1327.1601043054345</v>
      </c>
      <c r="D34" s="4">
        <f t="shared" si="0"/>
        <v>1927.3238270608194</v>
      </c>
      <c r="E34" s="3">
        <f t="shared" si="1"/>
        <v>374127.39513995551</v>
      </c>
      <c r="F34" s="4">
        <f>('Owner Occupier'!$H$24-'Owner Occupier'!$D$52)/('Owner Occupier'!$D$56-'Owner Occupier'!$D$52)*B34</f>
        <v>279.29723865110685</v>
      </c>
      <c r="G34" s="4">
        <f t="shared" si="2"/>
        <v>8215.127571868572</v>
      </c>
    </row>
    <row r="35" spans="1:7">
      <c r="A35">
        <v>32</v>
      </c>
      <c r="B35" s="4">
        <f>-PPMT('Owner Occupier'!$D$41/12,'FHA Amotization'!$A35,360,'Owner Occupier'!$D$40,0,0)</f>
        <v>602.28930260681045</v>
      </c>
      <c r="C35" s="4">
        <f>-IPMT('Owner Occupier'!$D$41/12,'FHA Amotization'!$A35,360,'Owner Occupier'!$D$40,0,0)</f>
        <v>1325.0345244540092</v>
      </c>
      <c r="D35" s="4">
        <f t="shared" si="0"/>
        <v>1927.3238270608197</v>
      </c>
      <c r="E35" s="3">
        <f t="shared" si="1"/>
        <v>373525.10583734867</v>
      </c>
      <c r="F35" s="4">
        <f>('Owner Occupier'!$H$24-'Owner Occupier'!$D$52)/('Owner Occupier'!$D$56-'Owner Occupier'!$D$52)*B35</f>
        <v>280.28641637132961</v>
      </c>
      <c r="G35" s="4">
        <f t="shared" si="2"/>
        <v>8495.4139882399013</v>
      </c>
    </row>
    <row r="36" spans="1:7">
      <c r="A36">
        <v>33</v>
      </c>
      <c r="B36" s="4">
        <f>-PPMT('Owner Occupier'!$D$41/12,'FHA Amotization'!$A36,360,'Owner Occupier'!$D$40,0,0)</f>
        <v>604.42241055354282</v>
      </c>
      <c r="C36" s="4">
        <f>-IPMT('Owner Occupier'!$D$41/12,'FHA Amotization'!$A36,360,'Owner Occupier'!$D$40,0,0)</f>
        <v>1322.9014165072767</v>
      </c>
      <c r="D36" s="4">
        <f t="shared" si="0"/>
        <v>1927.3238270608194</v>
      </c>
      <c r="E36" s="3">
        <f t="shared" si="1"/>
        <v>372920.68342679512</v>
      </c>
      <c r="F36" s="4">
        <f>('Owner Occupier'!$H$24-'Owner Occupier'!$D$52)/('Owner Occupier'!$D$56-'Owner Occupier'!$D$52)*B36</f>
        <v>281.27909742931132</v>
      </c>
      <c r="G36" s="4">
        <f t="shared" si="2"/>
        <v>8776.6930856692125</v>
      </c>
    </row>
    <row r="37" spans="1:7">
      <c r="A37">
        <v>34</v>
      </c>
      <c r="B37" s="4">
        <f>-PPMT('Owner Occupier'!$D$41/12,'FHA Amotization'!$A37,360,'Owner Occupier'!$D$40,0,0)</f>
        <v>606.56307325758667</v>
      </c>
      <c r="C37" s="4">
        <f>-IPMT('Owner Occupier'!$D$41/12,'FHA Amotization'!$A37,360,'Owner Occupier'!$D$40,0,0)</f>
        <v>1320.760753803233</v>
      </c>
      <c r="D37" s="4">
        <f t="shared" si="0"/>
        <v>1927.3238270608197</v>
      </c>
      <c r="E37" s="3">
        <f t="shared" si="1"/>
        <v>372314.12035353755</v>
      </c>
      <c r="F37" s="4">
        <f>('Owner Occupier'!$H$24-'Owner Occupier'!$D$52)/('Owner Occupier'!$D$56-'Owner Occupier'!$D$52)*B37</f>
        <v>282.27529423270687</v>
      </c>
      <c r="G37" s="4">
        <f t="shared" si="2"/>
        <v>9058.9683799019185</v>
      </c>
    </row>
    <row r="38" spans="1:7">
      <c r="A38">
        <v>35</v>
      </c>
      <c r="B38" s="4">
        <f>-PPMT('Owner Occupier'!$D$41/12,'FHA Amotization'!$A38,360,'Owner Occupier'!$D$40,0,0)</f>
        <v>608.7113174753739</v>
      </c>
      <c r="C38" s="4">
        <f>-IPMT('Owner Occupier'!$D$41/12,'FHA Amotization'!$A38,360,'Owner Occupier'!$D$40,0,0)</f>
        <v>1318.6125095854457</v>
      </c>
      <c r="D38" s="4">
        <f t="shared" si="0"/>
        <v>1927.3238270608194</v>
      </c>
      <c r="E38" s="3">
        <f t="shared" si="1"/>
        <v>371705.40903606219</v>
      </c>
      <c r="F38" s="4">
        <f>('Owner Occupier'!$H$24-'Owner Occupier'!$D$52)/('Owner Occupier'!$D$56-'Owner Occupier'!$D$52)*B38</f>
        <v>283.27501923311434</v>
      </c>
      <c r="G38" s="4">
        <f t="shared" si="2"/>
        <v>9342.2433991350335</v>
      </c>
    </row>
    <row r="39" spans="1:7">
      <c r="A39">
        <v>36</v>
      </c>
      <c r="B39" s="4">
        <f>-PPMT('Owner Occupier'!$D$41/12,'FHA Amotization'!$A39,360,'Owner Occupier'!$D$40,0,0)</f>
        <v>610.86717005809919</v>
      </c>
      <c r="C39" s="4">
        <f>-IPMT('Owner Occupier'!$D$41/12,'FHA Amotization'!$A39,360,'Owner Occupier'!$D$40,0,0)</f>
        <v>1316.4566570027202</v>
      </c>
      <c r="D39" s="4">
        <f t="shared" si="0"/>
        <v>1927.3238270608194</v>
      </c>
      <c r="E39" s="3">
        <f t="shared" si="1"/>
        <v>371094.54186600412</v>
      </c>
      <c r="F39" s="4">
        <f>('Owner Occupier'!$H$24-'Owner Occupier'!$D$52)/('Owner Occupier'!$D$56-'Owner Occupier'!$D$52)*B39</f>
        <v>284.27828492623161</v>
      </c>
      <c r="G39" s="4">
        <f t="shared" si="2"/>
        <v>9626.5216840612648</v>
      </c>
    </row>
    <row r="40" spans="1:7">
      <c r="A40">
        <v>37</v>
      </c>
      <c r="B40" s="4">
        <f>-PPMT('Owner Occupier'!$D$41/12,'FHA Amotization'!$A40,360,'Owner Occupier'!$D$40,0,0)</f>
        <v>613.03065795205487</v>
      </c>
      <c r="C40" s="4">
        <f>-IPMT('Owner Occupier'!$D$41/12,'FHA Amotization'!$A40,360,'Owner Occupier'!$D$40,0,0)</f>
        <v>1314.2931691087647</v>
      </c>
      <c r="D40" s="4">
        <f t="shared" si="0"/>
        <v>1927.3238270608194</v>
      </c>
      <c r="E40" s="3">
        <f t="shared" si="1"/>
        <v>370481.51120805205</v>
      </c>
      <c r="F40" s="4">
        <f>('Owner Occupier'!$H$24-'Owner Occupier'!$D$52)/('Owner Occupier'!$D$56-'Owner Occupier'!$D$52)*B40</f>
        <v>285.28510385201196</v>
      </c>
      <c r="G40" s="4">
        <f t="shared" si="2"/>
        <v>9911.8067879132759</v>
      </c>
    </row>
    <row r="41" spans="1:7">
      <c r="A41">
        <v>38</v>
      </c>
      <c r="B41" s="4">
        <f>-PPMT('Owner Occupier'!$D$41/12,'FHA Amotization'!$A41,360,'Owner Occupier'!$D$40,0,0)</f>
        <v>615.20180819896859</v>
      </c>
      <c r="C41" s="4">
        <f>-IPMT('Owner Occupier'!$D$41/12,'FHA Amotization'!$A41,360,'Owner Occupier'!$D$40,0,0)</f>
        <v>1312.1220188618511</v>
      </c>
      <c r="D41" s="4">
        <f t="shared" si="0"/>
        <v>1927.3238270608197</v>
      </c>
      <c r="E41" s="3">
        <f t="shared" si="1"/>
        <v>369866.30939985305</v>
      </c>
      <c r="F41" s="4">
        <f>('Owner Occupier'!$H$24-'Owner Occupier'!$D$52)/('Owner Occupier'!$D$56-'Owner Occupier'!$D$52)*B41</f>
        <v>286.29548859482128</v>
      </c>
      <c r="G41" s="4">
        <f t="shared" si="2"/>
        <v>10198.102276508098</v>
      </c>
    </row>
    <row r="42" spans="1:7">
      <c r="A42">
        <v>39</v>
      </c>
      <c r="B42" s="4">
        <f>-PPMT('Owner Occupier'!$D$41/12,'FHA Amotization'!$A42,360,'Owner Occupier'!$D$40,0,0)</f>
        <v>617.38064793633987</v>
      </c>
      <c r="C42" s="4">
        <f>-IPMT('Owner Occupier'!$D$41/12,'FHA Amotization'!$A42,360,'Owner Occupier'!$D$40,0,0)</f>
        <v>1309.9431791244799</v>
      </c>
      <c r="D42" s="4">
        <f t="shared" si="0"/>
        <v>1927.3238270608199</v>
      </c>
      <c r="E42" s="3">
        <f t="shared" si="1"/>
        <v>369248.92875191674</v>
      </c>
      <c r="F42" s="4">
        <f>('Owner Occupier'!$H$24-'Owner Occupier'!$D$52)/('Owner Occupier'!$D$56-'Owner Occupier'!$D$52)*B42</f>
        <v>287.30945178359457</v>
      </c>
      <c r="G42" s="4">
        <f t="shared" si="2"/>
        <v>10485.411728291692</v>
      </c>
    </row>
    <row r="43" spans="1:7">
      <c r="A43">
        <v>40</v>
      </c>
      <c r="B43" s="4">
        <f>-PPMT('Owner Occupier'!$D$41/12,'FHA Amotization'!$A43,360,'Owner Occupier'!$D$40,0,0)</f>
        <v>619.5672043977811</v>
      </c>
      <c r="C43" s="4">
        <f>-IPMT('Owner Occupier'!$D$41/12,'FHA Amotization'!$A43,360,'Owner Occupier'!$D$40,0,0)</f>
        <v>1307.7566226630388</v>
      </c>
      <c r="D43" s="4">
        <f t="shared" si="0"/>
        <v>1927.3238270608199</v>
      </c>
      <c r="E43" s="3">
        <f t="shared" si="1"/>
        <v>368629.36154751899</v>
      </c>
      <c r="F43" s="4">
        <f>('Owner Occupier'!$H$24-'Owner Occupier'!$D$52)/('Owner Occupier'!$D$56-'Owner Occupier'!$D$52)*B43</f>
        <v>288.3270060919948</v>
      </c>
      <c r="G43" s="4">
        <f t="shared" si="2"/>
        <v>10773.738734383687</v>
      </c>
    </row>
    <row r="44" spans="1:7">
      <c r="A44">
        <v>41</v>
      </c>
      <c r="B44" s="4">
        <f>-PPMT('Owner Occupier'!$D$41/12,'FHA Amotization'!$A44,360,'Owner Occupier'!$D$40,0,0)</f>
        <v>621.76150491335648</v>
      </c>
      <c r="C44" s="4">
        <f>-IPMT('Owner Occupier'!$D$41/12,'FHA Amotization'!$A44,360,'Owner Occupier'!$D$40,0,0)</f>
        <v>1305.5623221474632</v>
      </c>
      <c r="D44" s="4">
        <f t="shared" si="0"/>
        <v>1927.3238270608197</v>
      </c>
      <c r="E44" s="3">
        <f t="shared" si="1"/>
        <v>368007.60004260566</v>
      </c>
      <c r="F44" s="4">
        <f>('Owner Occupier'!$H$24-'Owner Occupier'!$D$52)/('Owner Occupier'!$D$56-'Owner Occupier'!$D$52)*B44</f>
        <v>289.34816423857058</v>
      </c>
      <c r="G44" s="4">
        <f t="shared" si="2"/>
        <v>11063.086898622258</v>
      </c>
    </row>
    <row r="45" spans="1:7">
      <c r="A45">
        <v>42</v>
      </c>
      <c r="B45" s="4">
        <f>-PPMT('Owner Occupier'!$D$41/12,'FHA Amotization'!$A45,360,'Owner Occupier'!$D$40,0,0)</f>
        <v>623.96357690992465</v>
      </c>
      <c r="C45" s="4">
        <f>-IPMT('Owner Occupier'!$D$41/12,'FHA Amotization'!$A45,360,'Owner Occupier'!$D$40,0,0)</f>
        <v>1303.3602501508949</v>
      </c>
      <c r="D45" s="4">
        <f t="shared" si="0"/>
        <v>1927.3238270608194</v>
      </c>
      <c r="E45" s="3">
        <f t="shared" si="1"/>
        <v>367383.63646569574</v>
      </c>
      <c r="F45" s="4">
        <f>('Owner Occupier'!$H$24-'Owner Occupier'!$D$52)/('Owner Occupier'!$D$56-'Owner Occupier'!$D$52)*B45</f>
        <v>290.37293898691553</v>
      </c>
      <c r="G45" s="4">
        <f t="shared" si="2"/>
        <v>11353.459837609173</v>
      </c>
    </row>
    <row r="46" spans="1:7">
      <c r="A46">
        <v>43</v>
      </c>
      <c r="B46" s="4">
        <f>-PPMT('Owner Occupier'!$D$41/12,'FHA Amotization'!$A46,360,'Owner Occupier'!$D$40,0,0)</f>
        <v>626.17344791148048</v>
      </c>
      <c r="C46" s="4">
        <f>-IPMT('Owner Occupier'!$D$41/12,'FHA Amotization'!$A46,360,'Owner Occupier'!$D$40,0,0)</f>
        <v>1301.150379149339</v>
      </c>
      <c r="D46" s="4">
        <f t="shared" si="0"/>
        <v>1927.3238270608194</v>
      </c>
      <c r="E46" s="3">
        <f t="shared" si="1"/>
        <v>366757.46301778429</v>
      </c>
      <c r="F46" s="4">
        <f>('Owner Occupier'!$H$24-'Owner Occupier'!$D$52)/('Owner Occupier'!$D$56-'Owner Occupier'!$D$52)*B46</f>
        <v>291.40134314582747</v>
      </c>
      <c r="G46" s="4">
        <f t="shared" si="2"/>
        <v>11644.861180755001</v>
      </c>
    </row>
    <row r="47" spans="1:7">
      <c r="A47">
        <v>44</v>
      </c>
      <c r="B47" s="4">
        <f>-PPMT('Owner Occupier'!$D$41/12,'FHA Amotization'!$A47,360,'Owner Occupier'!$D$40,0,0)</f>
        <v>628.3911455395006</v>
      </c>
      <c r="C47" s="4">
        <f>-IPMT('Owner Occupier'!$D$41/12,'FHA Amotization'!$A47,360,'Owner Occupier'!$D$40,0,0)</f>
        <v>1298.932681521319</v>
      </c>
      <c r="D47" s="4">
        <f t="shared" si="0"/>
        <v>1927.3238270608194</v>
      </c>
      <c r="E47" s="3">
        <f t="shared" si="1"/>
        <v>366129.07187224476</v>
      </c>
      <c r="F47" s="4">
        <f>('Owner Occupier'!$H$24-'Owner Occupier'!$D$52)/('Owner Occupier'!$D$56-'Owner Occupier'!$D$52)*B47</f>
        <v>292.43338956946906</v>
      </c>
      <c r="G47" s="4">
        <f t="shared" si="2"/>
        <v>11937.29457032447</v>
      </c>
    </row>
    <row r="48" spans="1:7">
      <c r="A48">
        <v>45</v>
      </c>
      <c r="B48" s="4">
        <f>-PPMT('Owner Occupier'!$D$41/12,'FHA Amotization'!$A48,360,'Owner Occupier'!$D$40,0,0)</f>
        <v>630.61669751328623</v>
      </c>
      <c r="C48" s="4">
        <f>-IPMT('Owner Occupier'!$D$41/12,'FHA Amotization'!$A48,360,'Owner Occupier'!$D$40,0,0)</f>
        <v>1296.7071295475337</v>
      </c>
      <c r="D48" s="4">
        <f t="shared" si="0"/>
        <v>1927.3238270608199</v>
      </c>
      <c r="E48" s="3">
        <f t="shared" si="1"/>
        <v>365498.4551747315</v>
      </c>
      <c r="F48" s="4">
        <f>('Owner Occupier'!$H$24-'Owner Occupier'!$D$52)/('Owner Occupier'!$D$56-'Owner Occupier'!$D$52)*B48</f>
        <v>293.46909115752754</v>
      </c>
      <c r="G48" s="4">
        <f t="shared" si="2"/>
        <v>12230.763661481997</v>
      </c>
    </row>
    <row r="49" spans="1:7">
      <c r="A49">
        <v>46</v>
      </c>
      <c r="B49" s="4">
        <f>-PPMT('Owner Occupier'!$D$41/12,'FHA Amotization'!$A49,360,'Owner Occupier'!$D$40,0,0)</f>
        <v>632.85013165031239</v>
      </c>
      <c r="C49" s="4">
        <f>-IPMT('Owner Occupier'!$D$41/12,'FHA Amotization'!$A49,360,'Owner Occupier'!$D$40,0,0)</f>
        <v>1294.4736954105074</v>
      </c>
      <c r="D49" s="4">
        <f t="shared" si="0"/>
        <v>1927.3238270608199</v>
      </c>
      <c r="E49" s="3">
        <f t="shared" si="1"/>
        <v>364865.60504308116</v>
      </c>
      <c r="F49" s="4">
        <f>('Owner Occupier'!$H$24-'Owner Occupier'!$D$52)/('Owner Occupier'!$D$56-'Owner Occupier'!$D$52)*B49</f>
        <v>294.50846085537711</v>
      </c>
      <c r="G49" s="4">
        <f t="shared" si="2"/>
        <v>12525.272122337374</v>
      </c>
    </row>
    <row r="50" spans="1:7">
      <c r="A50">
        <v>47</v>
      </c>
      <c r="B50" s="4">
        <f>-PPMT('Owner Occupier'!$D$41/12,'FHA Amotization'!$A50,360,'Owner Occupier'!$D$40,0,0)</f>
        <v>635.09147586657389</v>
      </c>
      <c r="C50" s="4">
        <f>-IPMT('Owner Occupier'!$D$41/12,'FHA Amotization'!$A50,360,'Owner Occupier'!$D$40,0,0)</f>
        <v>1292.2323511942457</v>
      </c>
      <c r="D50" s="4">
        <f t="shared" si="0"/>
        <v>1927.3238270608194</v>
      </c>
      <c r="E50" s="3">
        <f t="shared" si="1"/>
        <v>364230.5135672146</v>
      </c>
      <c r="F50" s="4">
        <f>('Owner Occupier'!$H$24-'Owner Occupier'!$D$52)/('Owner Occupier'!$D$56-'Owner Occupier'!$D$52)*B50</f>
        <v>295.5515116542399</v>
      </c>
      <c r="G50" s="4">
        <f t="shared" si="2"/>
        <v>12820.823633991613</v>
      </c>
    </row>
    <row r="51" spans="1:7">
      <c r="A51">
        <v>48</v>
      </c>
      <c r="B51" s="4">
        <f>-PPMT('Owner Occupier'!$D$41/12,'FHA Amotization'!$A51,360,'Owner Occupier'!$D$40,0,0)</f>
        <v>637.34075817693463</v>
      </c>
      <c r="C51" s="4">
        <f>-IPMT('Owner Occupier'!$D$41/12,'FHA Amotization'!$A51,360,'Owner Occupier'!$D$40,0,0)</f>
        <v>1289.9830688838849</v>
      </c>
      <c r="D51" s="4">
        <f t="shared" si="0"/>
        <v>1927.3238270608194</v>
      </c>
      <c r="E51" s="3">
        <f t="shared" si="1"/>
        <v>363593.17280903767</v>
      </c>
      <c r="F51" s="4">
        <f>('Owner Occupier'!$H$24-'Owner Occupier'!$D$52)/('Owner Occupier'!$D$56-'Owner Occupier'!$D$52)*B51</f>
        <v>296.59825659134862</v>
      </c>
      <c r="G51" s="4">
        <f t="shared" si="2"/>
        <v>13117.421890582962</v>
      </c>
    </row>
    <row r="52" spans="1:7">
      <c r="A52">
        <v>49</v>
      </c>
      <c r="B52" s="4">
        <f>-PPMT('Owner Occupier'!$D$41/12,'FHA Amotization'!$A52,360,'Owner Occupier'!$D$40,0,0)</f>
        <v>639.59800669547792</v>
      </c>
      <c r="C52" s="4">
        <f>-IPMT('Owner Occupier'!$D$41/12,'FHA Amotization'!$A52,360,'Owner Occupier'!$D$40,0,0)</f>
        <v>1287.7258203653416</v>
      </c>
      <c r="D52" s="4">
        <f t="shared" si="0"/>
        <v>1927.3238270608194</v>
      </c>
      <c r="E52" s="3">
        <f t="shared" si="1"/>
        <v>362953.57480234222</v>
      </c>
      <c r="F52" s="4">
        <f>('Owner Occupier'!$H$24-'Owner Occupier'!$D$52)/('Owner Occupier'!$D$56-'Owner Occupier'!$D$52)*B52</f>
        <v>297.64870875010962</v>
      </c>
      <c r="G52" s="4">
        <f t="shared" si="2"/>
        <v>13415.070599333072</v>
      </c>
    </row>
    <row r="53" spans="1:7">
      <c r="A53">
        <v>50</v>
      </c>
      <c r="B53" s="4">
        <f>-PPMT('Owner Occupier'!$D$41/12,'FHA Amotization'!$A53,360,'Owner Occupier'!$D$40,0,0)</f>
        <v>641.86324963585787</v>
      </c>
      <c r="C53" s="4">
        <f>-IPMT('Owner Occupier'!$D$41/12,'FHA Amotization'!$A53,360,'Owner Occupier'!$D$40,0,0)</f>
        <v>1285.4605774249617</v>
      </c>
      <c r="D53" s="4">
        <f t="shared" si="0"/>
        <v>1927.3238270608194</v>
      </c>
      <c r="E53" s="3">
        <f t="shared" si="1"/>
        <v>362311.71155270637</v>
      </c>
      <c r="F53" s="4">
        <f>('Owner Occupier'!$H$24-'Owner Occupier'!$D$52)/('Owner Occupier'!$D$56-'Owner Occupier'!$D$52)*B53</f>
        <v>298.70288126026634</v>
      </c>
      <c r="G53" s="4">
        <f t="shared" si="2"/>
        <v>13713.773480593338</v>
      </c>
    </row>
    <row r="54" spans="1:7">
      <c r="A54">
        <v>51</v>
      </c>
      <c r="B54" s="4">
        <f>-PPMT('Owner Occupier'!$D$41/12,'FHA Amotization'!$A54,360,'Owner Occupier'!$D$40,0,0)</f>
        <v>644.13651531165146</v>
      </c>
      <c r="C54" s="4">
        <f>-IPMT('Owner Occupier'!$D$41/12,'FHA Amotization'!$A54,360,'Owner Occupier'!$D$40,0,0)</f>
        <v>1283.1873117491682</v>
      </c>
      <c r="D54" s="4">
        <f t="shared" si="0"/>
        <v>1927.3238270608197</v>
      </c>
      <c r="E54" s="3">
        <f t="shared" si="1"/>
        <v>361667.57503739471</v>
      </c>
      <c r="F54" s="4">
        <f>('Owner Occupier'!$H$24-'Owner Occupier'!$D$52)/('Owner Occupier'!$D$56-'Owner Occupier'!$D$52)*B54</f>
        <v>299.76078729806306</v>
      </c>
      <c r="G54" s="4">
        <f t="shared" si="2"/>
        <v>14013.5342678914</v>
      </c>
    </row>
    <row r="55" spans="1:7">
      <c r="A55">
        <v>52</v>
      </c>
      <c r="B55" s="4">
        <f>-PPMT('Owner Occupier'!$D$41/12,'FHA Amotization'!$A55,360,'Owner Occupier'!$D$40,0,0)</f>
        <v>646.41783213671363</v>
      </c>
      <c r="C55" s="4">
        <f>-IPMT('Owner Occupier'!$D$41/12,'FHA Amotization'!$A55,360,'Owner Occupier'!$D$40,0,0)</f>
        <v>1280.9059949241059</v>
      </c>
      <c r="D55" s="4">
        <f t="shared" si="0"/>
        <v>1927.3238270608194</v>
      </c>
      <c r="E55" s="3">
        <f t="shared" si="1"/>
        <v>361021.15720525797</v>
      </c>
      <c r="F55" s="4">
        <f>('Owner Occupier'!$H$24-'Owner Occupier'!$D$52)/('Owner Occupier'!$D$56-'Owner Occupier'!$D$52)*B55</f>
        <v>300.82244008641044</v>
      </c>
      <c r="G55" s="4">
        <f t="shared" si="2"/>
        <v>14314.356707977811</v>
      </c>
    </row>
    <row r="56" spans="1:7">
      <c r="A56">
        <v>53</v>
      </c>
      <c r="B56" s="4">
        <f>-PPMT('Owner Occupier'!$D$41/12,'FHA Amotization'!$A56,360,'Owner Occupier'!$D$40,0,0)</f>
        <v>648.70722862553112</v>
      </c>
      <c r="C56" s="4">
        <f>-IPMT('Owner Occupier'!$D$41/12,'FHA Amotization'!$A56,360,'Owner Occupier'!$D$40,0,0)</f>
        <v>1278.6165984352886</v>
      </c>
      <c r="D56" s="4">
        <f t="shared" si="0"/>
        <v>1927.3238270608197</v>
      </c>
      <c r="E56" s="3">
        <f t="shared" si="1"/>
        <v>360372.44997663243</v>
      </c>
      <c r="F56" s="4">
        <f>('Owner Occupier'!$H$24-'Owner Occupier'!$D$52)/('Owner Occupier'!$D$56-'Owner Occupier'!$D$52)*B56</f>
        <v>301.88785289504978</v>
      </c>
      <c r="G56" s="4">
        <f t="shared" si="2"/>
        <v>14616.244560872861</v>
      </c>
    </row>
    <row r="57" spans="1:7">
      <c r="A57">
        <v>54</v>
      </c>
      <c r="B57" s="4">
        <f>-PPMT('Owner Occupier'!$D$41/12,'FHA Amotization'!$A57,360,'Owner Occupier'!$D$40,0,0)</f>
        <v>651.00473339357984</v>
      </c>
      <c r="C57" s="4">
        <f>-IPMT('Owner Occupier'!$D$41/12,'FHA Amotization'!$A57,360,'Owner Occupier'!$D$40,0,0)</f>
        <v>1276.3190936672397</v>
      </c>
      <c r="D57" s="4">
        <f t="shared" si="0"/>
        <v>1927.3238270608194</v>
      </c>
      <c r="E57" s="3">
        <f t="shared" si="1"/>
        <v>359721.44524323888</v>
      </c>
      <c r="F57" s="4">
        <f>('Owner Occupier'!$H$24-'Owner Occupier'!$D$52)/('Owner Occupier'!$D$56-'Owner Occupier'!$D$52)*B57</f>
        <v>302.95703904071974</v>
      </c>
      <c r="G57" s="4">
        <f t="shared" si="2"/>
        <v>14919.20159991358</v>
      </c>
    </row>
    <row r="58" spans="1:7">
      <c r="A58">
        <v>55</v>
      </c>
      <c r="B58" s="4">
        <f>-PPMT('Owner Occupier'!$D$41/12,'FHA Amotization'!$A58,360,'Owner Occupier'!$D$40,0,0)</f>
        <v>653.31037515768207</v>
      </c>
      <c r="C58" s="4">
        <f>-IPMT('Owner Occupier'!$D$41/12,'FHA Amotization'!$A58,360,'Owner Occupier'!$D$40,0,0)</f>
        <v>1274.0134519031374</v>
      </c>
      <c r="D58" s="4">
        <f t="shared" si="0"/>
        <v>1927.3238270608194</v>
      </c>
      <c r="E58" s="3">
        <f t="shared" si="1"/>
        <v>359068.13486808119</v>
      </c>
      <c r="F58" s="4">
        <f>('Owner Occupier'!$H$24-'Owner Occupier'!$D$52)/('Owner Occupier'!$D$56-'Owner Occupier'!$D$52)*B58</f>
        <v>304.03001188732225</v>
      </c>
      <c r="G58" s="4">
        <f t="shared" si="2"/>
        <v>15223.231611800902</v>
      </c>
    </row>
    <row r="59" spans="1:7">
      <c r="A59">
        <v>56</v>
      </c>
      <c r="B59" s="4">
        <f>-PPMT('Owner Occupier'!$D$41/12,'FHA Amotization'!$A59,360,'Owner Occupier'!$D$40,0,0)</f>
        <v>655.62418273636558</v>
      </c>
      <c r="C59" s="4">
        <f>-IPMT('Owner Occupier'!$D$41/12,'FHA Amotization'!$A59,360,'Owner Occupier'!$D$40,0,0)</f>
        <v>1271.6996443244539</v>
      </c>
      <c r="D59" s="4">
        <f t="shared" si="0"/>
        <v>1927.3238270608194</v>
      </c>
      <c r="E59" s="3">
        <f t="shared" si="1"/>
        <v>358412.51068534481</v>
      </c>
      <c r="F59" s="4">
        <f>('Owner Occupier'!$H$24-'Owner Occupier'!$D$52)/('Owner Occupier'!$D$56-'Owner Occupier'!$D$52)*B59</f>
        <v>305.10678484608991</v>
      </c>
      <c r="G59" s="4">
        <f t="shared" si="2"/>
        <v>15528.338396646992</v>
      </c>
    </row>
    <row r="60" spans="1:7">
      <c r="A60">
        <v>57</v>
      </c>
      <c r="B60" s="4">
        <f>-PPMT('Owner Occupier'!$D$41/12,'FHA Amotization'!$A60,360,'Owner Occupier'!$D$40,0,0)</f>
        <v>657.94618505022356</v>
      </c>
      <c r="C60" s="4">
        <f>-IPMT('Owner Occupier'!$D$41/12,'FHA Amotization'!$A60,360,'Owner Occupier'!$D$40,0,0)</f>
        <v>1269.377642010596</v>
      </c>
      <c r="D60" s="4">
        <f t="shared" si="0"/>
        <v>1927.3238270608194</v>
      </c>
      <c r="E60" s="3">
        <f t="shared" si="1"/>
        <v>357754.56450029457</v>
      </c>
      <c r="F60" s="4">
        <f>('Owner Occupier'!$H$24-'Owner Occupier'!$D$52)/('Owner Occupier'!$D$56-'Owner Occupier'!$D$52)*B60</f>
        <v>306.18737137575312</v>
      </c>
      <c r="G60" s="4">
        <f t="shared" si="2"/>
        <v>15834.525768022744</v>
      </c>
    </row>
    <row r="61" spans="1:7">
      <c r="A61">
        <v>58</v>
      </c>
      <c r="B61" s="4">
        <f>-PPMT('Owner Occupier'!$D$41/12,'FHA Amotization'!$A61,360,'Owner Occupier'!$D$40,0,0)</f>
        <v>660.2764111222765</v>
      </c>
      <c r="C61" s="4">
        <f>-IPMT('Owner Occupier'!$D$41/12,'FHA Amotization'!$A61,360,'Owner Occupier'!$D$40,0,0)</f>
        <v>1267.0474159385428</v>
      </c>
      <c r="D61" s="4">
        <f t="shared" si="0"/>
        <v>1927.3238270608194</v>
      </c>
      <c r="E61" s="3">
        <f t="shared" si="1"/>
        <v>357094.28808917227</v>
      </c>
      <c r="F61" s="4">
        <f>('Owner Occupier'!$H$24-'Owner Occupier'!$D$52)/('Owner Occupier'!$D$56-'Owner Occupier'!$D$52)*B61</f>
        <v>307.27178498270894</v>
      </c>
      <c r="G61" s="4">
        <f t="shared" si="2"/>
        <v>16141.797553005454</v>
      </c>
    </row>
    <row r="62" spans="1:7">
      <c r="A62">
        <v>59</v>
      </c>
      <c r="B62" s="4">
        <f>-PPMT('Owner Occupier'!$D$41/12,'FHA Amotization'!$A62,360,'Owner Occupier'!$D$40,0,0)</f>
        <v>662.6148900783345</v>
      </c>
      <c r="C62" s="4">
        <f>-IPMT('Owner Occupier'!$D$41/12,'FHA Amotization'!$A62,360,'Owner Occupier'!$D$40,0,0)</f>
        <v>1264.7089369824851</v>
      </c>
      <c r="D62" s="4">
        <f t="shared" si="0"/>
        <v>1927.3238270608194</v>
      </c>
      <c r="E62" s="3">
        <f t="shared" si="1"/>
        <v>356431.67319909396</v>
      </c>
      <c r="F62" s="4">
        <f>('Owner Occupier'!$H$24-'Owner Occupier'!$D$52)/('Owner Occupier'!$D$56-'Owner Occupier'!$D$52)*B62</f>
        <v>308.36003922118937</v>
      </c>
      <c r="G62" s="4">
        <f t="shared" si="2"/>
        <v>16450.157592226642</v>
      </c>
    </row>
    <row r="63" spans="1:7">
      <c r="A63">
        <v>60</v>
      </c>
      <c r="B63" s="4">
        <f>-PPMT('Owner Occupier'!$D$41/12,'FHA Amotization'!$A63,360,'Owner Occupier'!$D$40,0,0)</f>
        <v>664.96165114736198</v>
      </c>
      <c r="C63" s="4">
        <f>-IPMT('Owner Occupier'!$D$41/12,'FHA Amotization'!$A63,360,'Owner Occupier'!$D$40,0,0)</f>
        <v>1262.3621759134576</v>
      </c>
      <c r="D63" s="4">
        <f t="shared" si="0"/>
        <v>1927.3238270608194</v>
      </c>
      <c r="E63" s="3">
        <f t="shared" si="1"/>
        <v>355766.71154794662</v>
      </c>
      <c r="F63" s="4">
        <f>('Owner Occupier'!$H$24-'Owner Occupier'!$D$52)/('Owner Occupier'!$D$56-'Owner Occupier'!$D$52)*B63</f>
        <v>309.45214769343107</v>
      </c>
      <c r="G63" s="4">
        <f t="shared" si="2"/>
        <v>16759.609739920073</v>
      </c>
    </row>
    <row r="64" spans="1:7">
      <c r="A64">
        <v>61</v>
      </c>
      <c r="B64" s="4">
        <f>-PPMT('Owner Occupier'!$D$41/12,'FHA Amotization'!$A64,360,'Owner Occupier'!$D$40,0,0)</f>
        <v>667.31672366184216</v>
      </c>
      <c r="C64" s="4">
        <f>-IPMT('Owner Occupier'!$D$41/12,'FHA Amotization'!$A64,360,'Owner Occupier'!$D$40,0,0)</f>
        <v>1260.0071033989775</v>
      </c>
      <c r="D64" s="4">
        <f t="shared" si="0"/>
        <v>1927.3238270608197</v>
      </c>
      <c r="E64" s="3">
        <f t="shared" si="1"/>
        <v>355099.39482428477</v>
      </c>
      <c r="F64" s="4">
        <f>('Owner Occupier'!$H$24-'Owner Occupier'!$D$52)/('Owner Occupier'!$D$56-'Owner Occupier'!$D$52)*B64</f>
        <v>310.54812404984528</v>
      </c>
      <c r="G64" s="4">
        <f t="shared" si="2"/>
        <v>17070.157863969918</v>
      </c>
    </row>
    <row r="65" spans="1:7">
      <c r="A65">
        <v>62</v>
      </c>
      <c r="B65" s="4">
        <f>-PPMT('Owner Occupier'!$D$41/12,'FHA Amotization'!$A65,360,'Owner Occupier'!$D$40,0,0)</f>
        <v>669.68013705814462</v>
      </c>
      <c r="C65" s="4">
        <f>-IPMT('Owner Occupier'!$D$41/12,'FHA Amotization'!$A65,360,'Owner Occupier'!$D$40,0,0)</f>
        <v>1257.6436900026749</v>
      </c>
      <c r="D65" s="4">
        <f t="shared" si="0"/>
        <v>1927.3238270608194</v>
      </c>
      <c r="E65" s="3">
        <f t="shared" si="1"/>
        <v>354429.71468722663</v>
      </c>
      <c r="F65" s="4">
        <f>('Owner Occupier'!$H$24-'Owner Occupier'!$D$52)/('Owner Occupier'!$D$56-'Owner Occupier'!$D$52)*B65</f>
        <v>311.64798198918857</v>
      </c>
      <c r="G65" s="4">
        <f t="shared" si="2"/>
        <v>17381.805845959108</v>
      </c>
    </row>
    <row r="66" spans="1:7">
      <c r="A66">
        <v>63</v>
      </c>
      <c r="B66" s="4">
        <f>-PPMT('Owner Occupier'!$D$41/12,'FHA Amotization'!$A66,360,'Owner Occupier'!$D$40,0,0)</f>
        <v>672.05192087689204</v>
      </c>
      <c r="C66" s="4">
        <f>-IPMT('Owner Occupier'!$D$41/12,'FHA Amotization'!$A66,360,'Owner Occupier'!$D$40,0,0)</f>
        <v>1255.2719061839275</v>
      </c>
      <c r="D66" s="4">
        <f t="shared" si="0"/>
        <v>1927.3238270608194</v>
      </c>
      <c r="E66" s="3">
        <f t="shared" si="1"/>
        <v>353757.66276634973</v>
      </c>
      <c r="F66" s="4">
        <f>('Owner Occupier'!$H$24-'Owner Occupier'!$D$52)/('Owner Occupier'!$D$56-'Owner Occupier'!$D$52)*B66</f>
        <v>312.7517352587335</v>
      </c>
      <c r="G66" s="4">
        <f t="shared" si="2"/>
        <v>17694.557581217843</v>
      </c>
    </row>
    <row r="67" spans="1:7">
      <c r="A67">
        <v>64</v>
      </c>
      <c r="B67" s="4">
        <f>-PPMT('Owner Occupier'!$D$41/12,'FHA Amotization'!$A67,360,'Owner Occupier'!$D$40,0,0)</f>
        <v>674.43210476333104</v>
      </c>
      <c r="C67" s="4">
        <f>-IPMT('Owner Occupier'!$D$41/12,'FHA Amotization'!$A67,360,'Owner Occupier'!$D$40,0,0)</f>
        <v>1252.8917222974883</v>
      </c>
      <c r="D67" s="4">
        <f t="shared" si="0"/>
        <v>1927.3238270608194</v>
      </c>
      <c r="E67" s="3">
        <f t="shared" si="1"/>
        <v>353083.23066158639</v>
      </c>
      <c r="F67" s="4">
        <f>('Owner Occupier'!$H$24-'Owner Occupier'!$D$52)/('Owner Occupier'!$D$56-'Owner Occupier'!$D$52)*B67</f>
        <v>313.85939765444152</v>
      </c>
      <c r="G67" s="4">
        <f t="shared" si="2"/>
        <v>18008.416978872283</v>
      </c>
    </row>
    <row r="68" spans="1:7">
      <c r="A68">
        <v>65</v>
      </c>
      <c r="B68" s="4">
        <f>-PPMT('Owner Occupier'!$D$41/12,'FHA Amotization'!$A68,360,'Owner Occupier'!$D$40,0,0)</f>
        <v>676.82071846770123</v>
      </c>
      <c r="C68" s="4">
        <f>-IPMT('Owner Occupier'!$D$41/12,'FHA Amotization'!$A68,360,'Owner Occupier'!$D$40,0,0)</f>
        <v>1250.5031085931184</v>
      </c>
      <c r="D68" s="4">
        <f t="shared" si="0"/>
        <v>1927.3238270608197</v>
      </c>
      <c r="E68" s="3">
        <f t="shared" si="1"/>
        <v>352406.40994311869</v>
      </c>
      <c r="F68" s="4">
        <f>('Owner Occupier'!$H$24-'Owner Occupier'!$D$52)/('Owner Occupier'!$D$56-'Owner Occupier'!$D$52)*B68</f>
        <v>314.97098302113437</v>
      </c>
      <c r="G68" s="4">
        <f t="shared" si="2"/>
        <v>18323.387961893419</v>
      </c>
    </row>
    <row r="69" spans="1:7">
      <c r="A69">
        <v>66</v>
      </c>
      <c r="B69" s="4">
        <f>-PPMT('Owner Occupier'!$D$41/12,'FHA Amotization'!$A69,360,'Owner Occupier'!$D$40,0,0)</f>
        <v>679.21779184560774</v>
      </c>
      <c r="C69" s="4">
        <f>-IPMT('Owner Occupier'!$D$41/12,'FHA Amotization'!$A69,360,'Owner Occupier'!$D$40,0,0)</f>
        <v>1248.1060352152117</v>
      </c>
      <c r="D69" s="4">
        <f t="shared" ref="D69:D132" si="3">B69+C69</f>
        <v>1927.3238270608194</v>
      </c>
      <c r="E69" s="3">
        <f t="shared" si="1"/>
        <v>351727.19215127308</v>
      </c>
      <c r="F69" s="4">
        <f>('Owner Occupier'!$H$24-'Owner Occupier'!$D$52)/('Owner Occupier'!$D$56-'Owner Occupier'!$D$52)*B69</f>
        <v>316.08650525266756</v>
      </c>
      <c r="G69" s="4">
        <f t="shared" si="2"/>
        <v>18639.474467146087</v>
      </c>
    </row>
    <row r="70" spans="1:7">
      <c r="A70">
        <v>67</v>
      </c>
      <c r="B70" s="4">
        <f>-PPMT('Owner Occupier'!$D$41/12,'FHA Amotization'!$A70,360,'Owner Occupier'!$D$40,0,0)</f>
        <v>681.62335485839424</v>
      </c>
      <c r="C70" s="4">
        <f>-IPMT('Owner Occupier'!$D$41/12,'FHA Amotization'!$A70,360,'Owner Occupier'!$D$40,0,0)</f>
        <v>1245.7004722024253</v>
      </c>
      <c r="D70" s="4">
        <f t="shared" si="3"/>
        <v>1927.3238270608194</v>
      </c>
      <c r="E70" s="3">
        <f t="shared" ref="E70:E133" si="4">E69-B70</f>
        <v>351045.56879641471</v>
      </c>
      <c r="F70" s="4">
        <f>('Owner Occupier'!$H$24-'Owner Occupier'!$D$52)/('Owner Occupier'!$D$56-'Owner Occupier'!$D$52)*B70</f>
        <v>317.20597829210408</v>
      </c>
      <c r="G70" s="4">
        <f t="shared" ref="G70:G133" si="5">F70+G69</f>
        <v>18956.680445438189</v>
      </c>
    </row>
    <row r="71" spans="1:7">
      <c r="A71">
        <v>68</v>
      </c>
      <c r="B71" s="4">
        <f>-PPMT('Owner Occupier'!$D$41/12,'FHA Amotization'!$A71,360,'Owner Occupier'!$D$40,0,0)</f>
        <v>684.03743757351776</v>
      </c>
      <c r="C71" s="4">
        <f>-IPMT('Owner Occupier'!$D$41/12,'FHA Amotization'!$A71,360,'Owner Occupier'!$D$40,0,0)</f>
        <v>1243.2863894873019</v>
      </c>
      <c r="D71" s="4">
        <f t="shared" si="3"/>
        <v>1927.3238270608197</v>
      </c>
      <c r="E71" s="3">
        <f t="shared" si="4"/>
        <v>350361.53135884117</v>
      </c>
      <c r="F71" s="4">
        <f>('Owner Occupier'!$H$24-'Owner Occupier'!$D$52)/('Owner Occupier'!$D$56-'Owner Occupier'!$D$52)*B71</f>
        <v>318.32941613188865</v>
      </c>
      <c r="G71" s="4">
        <f t="shared" si="5"/>
        <v>19275.009861570077</v>
      </c>
    </row>
    <row r="72" spans="1:7">
      <c r="A72">
        <v>69</v>
      </c>
      <c r="B72" s="4">
        <f>-PPMT('Owner Occupier'!$D$41/12,'FHA Amotization'!$A72,360,'Owner Occupier'!$D$40,0,0)</f>
        <v>686.46007016492388</v>
      </c>
      <c r="C72" s="4">
        <f>-IPMT('Owner Occupier'!$D$41/12,'FHA Amotization'!$A72,360,'Owner Occupier'!$D$40,0,0)</f>
        <v>1240.8637568958957</v>
      </c>
      <c r="D72" s="4">
        <f t="shared" si="3"/>
        <v>1927.3238270608194</v>
      </c>
      <c r="E72" s="3">
        <f t="shared" si="4"/>
        <v>349675.07128867623</v>
      </c>
      <c r="F72" s="4">
        <f>('Owner Occupier'!$H$24-'Owner Occupier'!$D$52)/('Owner Occupier'!$D$56-'Owner Occupier'!$D$52)*B72</f>
        <v>319.45683281402239</v>
      </c>
      <c r="G72" s="4">
        <f t="shared" si="5"/>
        <v>19594.4666943841</v>
      </c>
    </row>
    <row r="73" spans="1:7">
      <c r="A73">
        <v>70</v>
      </c>
      <c r="B73" s="4">
        <f>-PPMT('Owner Occupier'!$D$41/12,'FHA Amotization'!$A73,360,'Owner Occupier'!$D$40,0,0)</f>
        <v>688.89128291342467</v>
      </c>
      <c r="C73" s="4">
        <f>-IPMT('Owner Occupier'!$D$41/12,'FHA Amotization'!$A73,360,'Owner Occupier'!$D$40,0,0)</f>
        <v>1238.4325441473948</v>
      </c>
      <c r="D73" s="4">
        <f t="shared" si="3"/>
        <v>1927.3238270608194</v>
      </c>
      <c r="E73" s="3">
        <f t="shared" si="4"/>
        <v>348986.18000576278</v>
      </c>
      <c r="F73" s="4">
        <f>('Owner Occupier'!$H$24-'Owner Occupier'!$D$52)/('Owner Occupier'!$D$56-'Owner Occupier'!$D$52)*B73</f>
        <v>320.58824243023872</v>
      </c>
      <c r="G73" s="4">
        <f t="shared" si="5"/>
        <v>19915.05493681434</v>
      </c>
    </row>
    <row r="74" spans="1:7">
      <c r="A74">
        <v>71</v>
      </c>
      <c r="B74" s="4">
        <f>-PPMT('Owner Occupier'!$D$41/12,'FHA Amotization'!$A74,360,'Owner Occupier'!$D$40,0,0)</f>
        <v>691.33110620707635</v>
      </c>
      <c r="C74" s="4">
        <f>-IPMT('Owner Occupier'!$D$41/12,'FHA Amotization'!$A74,360,'Owner Occupier'!$D$40,0,0)</f>
        <v>1235.9927208537435</v>
      </c>
      <c r="D74" s="4">
        <f t="shared" si="3"/>
        <v>1927.3238270608199</v>
      </c>
      <c r="E74" s="3">
        <f t="shared" si="4"/>
        <v>348294.84889955568</v>
      </c>
      <c r="F74" s="4">
        <f>('Owner Occupier'!$H$24-'Owner Occupier'!$D$52)/('Owner Occupier'!$D$56-'Owner Occupier'!$D$52)*B74</f>
        <v>321.72365912217913</v>
      </c>
      <c r="G74" s="4">
        <f t="shared" si="5"/>
        <v>20236.778595936521</v>
      </c>
    </row>
    <row r="75" spans="1:7">
      <c r="A75">
        <v>72</v>
      </c>
      <c r="B75" s="4">
        <f>-PPMT('Owner Occupier'!$D$41/12,'FHA Amotization'!$A75,360,'Owner Occupier'!$D$40,0,0)</f>
        <v>693.77957054155979</v>
      </c>
      <c r="C75" s="4">
        <f>-IPMT('Owner Occupier'!$D$41/12,'FHA Amotization'!$A75,360,'Owner Occupier'!$D$40,0,0)</f>
        <v>1233.5442565192595</v>
      </c>
      <c r="D75" s="4">
        <f t="shared" si="3"/>
        <v>1927.3238270608194</v>
      </c>
      <c r="E75" s="3">
        <f t="shared" si="4"/>
        <v>347601.06932901411</v>
      </c>
      <c r="F75" s="4">
        <f>('Owner Occupier'!$H$24-'Owner Occupier'!$D$52)/('Owner Occupier'!$D$56-'Owner Occupier'!$D$52)*B75</f>
        <v>322.86309708157023</v>
      </c>
      <c r="G75" s="4">
        <f t="shared" si="5"/>
        <v>20559.641693018093</v>
      </c>
    </row>
    <row r="76" spans="1:7">
      <c r="A76">
        <v>73</v>
      </c>
      <c r="B76" s="4">
        <f>-PPMT('Owner Occupier'!$D$41/12,'FHA Amotization'!$A76,360,'Owner Occupier'!$D$40,0,0)</f>
        <v>696.23670652056114</v>
      </c>
      <c r="C76" s="4">
        <f>-IPMT('Owner Occupier'!$D$41/12,'FHA Amotization'!$A76,360,'Owner Occupier'!$D$40,0,0)</f>
        <v>1231.0871205402584</v>
      </c>
      <c r="D76" s="4">
        <f t="shared" si="3"/>
        <v>1927.3238270608194</v>
      </c>
      <c r="E76" s="3">
        <f t="shared" si="4"/>
        <v>346904.83262249356</v>
      </c>
      <c r="F76" s="4">
        <f>('Owner Occupier'!$H$24-'Owner Occupier'!$D$52)/('Owner Occupier'!$D$56-'Owner Occupier'!$D$52)*B76</f>
        <v>324.0065705504008</v>
      </c>
      <c r="G76" s="4">
        <f t="shared" si="5"/>
        <v>20883.648263568495</v>
      </c>
    </row>
    <row r="77" spans="1:7">
      <c r="A77">
        <v>74</v>
      </c>
      <c r="B77" s="4">
        <f>-PPMT('Owner Occupier'!$D$41/12,'FHA Amotization'!$A77,360,'Owner Occupier'!$D$40,0,0)</f>
        <v>698.70254485615487</v>
      </c>
      <c r="C77" s="4">
        <f>-IPMT('Owner Occupier'!$D$41/12,'FHA Amotization'!$A77,360,'Owner Occupier'!$D$40,0,0)</f>
        <v>1228.6212822046648</v>
      </c>
      <c r="D77" s="4">
        <f t="shared" si="3"/>
        <v>1927.3238270608197</v>
      </c>
      <c r="E77" s="3">
        <f t="shared" si="4"/>
        <v>346206.13007763738</v>
      </c>
      <c r="F77" s="4">
        <f>('Owner Occupier'!$H$24-'Owner Occupier'!$D$52)/('Owner Occupier'!$D$56-'Owner Occupier'!$D$52)*B77</f>
        <v>325.15409382110016</v>
      </c>
      <c r="G77" s="4">
        <f t="shared" si="5"/>
        <v>21208.802357389595</v>
      </c>
    </row>
    <row r="78" spans="1:7">
      <c r="A78">
        <v>75</v>
      </c>
      <c r="B78" s="4">
        <f>-PPMT('Owner Occupier'!$D$41/12,'FHA Amotization'!$A78,360,'Owner Occupier'!$D$40,0,0)</f>
        <v>701.17711636918705</v>
      </c>
      <c r="C78" s="4">
        <f>-IPMT('Owner Occupier'!$D$41/12,'FHA Amotization'!$A78,360,'Owner Occupier'!$D$40,0,0)</f>
        <v>1226.1467106916327</v>
      </c>
      <c r="D78" s="4">
        <f t="shared" si="3"/>
        <v>1927.3238270608199</v>
      </c>
      <c r="E78" s="3">
        <f t="shared" si="4"/>
        <v>345504.95296126819</v>
      </c>
      <c r="F78" s="4">
        <f>('Owner Occupier'!$H$24-'Owner Occupier'!$D$52)/('Owner Occupier'!$D$56-'Owner Occupier'!$D$52)*B78</f>
        <v>326.30568123671651</v>
      </c>
      <c r="G78" s="4">
        <f t="shared" si="5"/>
        <v>21535.108038626313</v>
      </c>
    </row>
    <row r="79" spans="1:7">
      <c r="A79">
        <v>76</v>
      </c>
      <c r="B79" s="4">
        <f>-PPMT('Owner Occupier'!$D$41/12,'FHA Amotization'!$A79,360,'Owner Occupier'!$D$40,0,0)</f>
        <v>703.66045198966117</v>
      </c>
      <c r="C79" s="4">
        <f>-IPMT('Owner Occupier'!$D$41/12,'FHA Amotization'!$A79,360,'Owner Occupier'!$D$40,0,0)</f>
        <v>1223.6633750711583</v>
      </c>
      <c r="D79" s="4">
        <f t="shared" si="3"/>
        <v>1927.3238270608194</v>
      </c>
      <c r="E79" s="3">
        <f t="shared" si="4"/>
        <v>344801.29250927852</v>
      </c>
      <c r="F79" s="4">
        <f>('Owner Occupier'!$H$24-'Owner Occupier'!$D$52)/('Owner Occupier'!$D$56-'Owner Occupier'!$D$52)*B79</f>
        <v>327.46134719109654</v>
      </c>
      <c r="G79" s="4">
        <f t="shared" si="5"/>
        <v>21862.569385817409</v>
      </c>
    </row>
    <row r="80" spans="1:7">
      <c r="A80">
        <v>77</v>
      </c>
      <c r="B80" s="4">
        <f>-PPMT('Owner Occupier'!$D$41/12,'FHA Amotization'!$A80,360,'Owner Occupier'!$D$40,0,0)</f>
        <v>706.15258275712461</v>
      </c>
      <c r="C80" s="4">
        <f>-IPMT('Owner Occupier'!$D$41/12,'FHA Amotization'!$A80,360,'Owner Occupier'!$D$40,0,0)</f>
        <v>1221.1712443036947</v>
      </c>
      <c r="D80" s="4">
        <f t="shared" si="3"/>
        <v>1927.3238270608194</v>
      </c>
      <c r="E80" s="3">
        <f t="shared" si="4"/>
        <v>344095.1399265214</v>
      </c>
      <c r="F80" s="4">
        <f>('Owner Occupier'!$H$24-'Owner Occupier'!$D$52)/('Owner Occupier'!$D$56-'Owner Occupier'!$D$52)*B80</f>
        <v>328.62110612906503</v>
      </c>
      <c r="G80" s="4">
        <f t="shared" si="5"/>
        <v>22191.190491946472</v>
      </c>
    </row>
    <row r="81" spans="1:7">
      <c r="A81">
        <v>78</v>
      </c>
      <c r="B81" s="4">
        <f>-PPMT('Owner Occupier'!$D$41/12,'FHA Amotization'!$A81,360,'Owner Occupier'!$D$40,0,0)</f>
        <v>708.65353982105614</v>
      </c>
      <c r="C81" s="4">
        <f>-IPMT('Owner Occupier'!$D$41/12,'FHA Amotization'!$A81,360,'Owner Occupier'!$D$40,0,0)</f>
        <v>1218.6702872397634</v>
      </c>
      <c r="D81" s="4">
        <f t="shared" si="3"/>
        <v>1927.3238270608194</v>
      </c>
      <c r="E81" s="3">
        <f t="shared" si="4"/>
        <v>343386.48638670036</v>
      </c>
      <c r="F81" s="4">
        <f>('Owner Occupier'!$H$24-'Owner Occupier'!$D$52)/('Owner Occupier'!$D$56-'Owner Occupier'!$D$52)*B81</f>
        <v>329.78497254660545</v>
      </c>
      <c r="G81" s="4">
        <f t="shared" si="5"/>
        <v>22520.975464493076</v>
      </c>
    </row>
    <row r="82" spans="1:7">
      <c r="A82">
        <v>79</v>
      </c>
      <c r="B82" s="4">
        <f>-PPMT('Owner Occupier'!$D$41/12,'FHA Amotization'!$A82,360,'Owner Occupier'!$D$40,0,0)</f>
        <v>711.16335444125559</v>
      </c>
      <c r="C82" s="4">
        <f>-IPMT('Owner Occupier'!$D$41/12,'FHA Amotization'!$A82,360,'Owner Occupier'!$D$40,0,0)</f>
        <v>1216.160472619564</v>
      </c>
      <c r="D82" s="4">
        <f t="shared" si="3"/>
        <v>1927.3238270608194</v>
      </c>
      <c r="E82" s="3">
        <f t="shared" si="4"/>
        <v>342675.32303225913</v>
      </c>
      <c r="F82" s="4">
        <f>('Owner Occupier'!$H$24-'Owner Occupier'!$D$52)/('Owner Occupier'!$D$56-'Owner Occupier'!$D$52)*B82</f>
        <v>330.95296099104132</v>
      </c>
      <c r="G82" s="4">
        <f t="shared" si="5"/>
        <v>22851.928425484119</v>
      </c>
    </row>
    <row r="83" spans="1:7">
      <c r="A83">
        <v>80</v>
      </c>
      <c r="B83" s="4">
        <f>-PPMT('Owner Occupier'!$D$41/12,'FHA Amotization'!$A83,360,'Owner Occupier'!$D$40,0,0)</f>
        <v>713.6820579882351</v>
      </c>
      <c r="C83" s="4">
        <f>-IPMT('Owner Occupier'!$D$41/12,'FHA Amotization'!$A83,360,'Owner Occupier'!$D$40,0,0)</f>
        <v>1213.6417690725843</v>
      </c>
      <c r="D83" s="4">
        <f t="shared" si="3"/>
        <v>1927.3238270608194</v>
      </c>
      <c r="E83" s="3">
        <f t="shared" si="4"/>
        <v>341961.64097427088</v>
      </c>
      <c r="F83" s="4">
        <f>('Owner Occupier'!$H$24-'Owner Occupier'!$D$52)/('Owner Occupier'!$D$56-'Owner Occupier'!$D$52)*B83</f>
        <v>332.12508606121793</v>
      </c>
      <c r="G83" s="4">
        <f t="shared" si="5"/>
        <v>23184.053511545335</v>
      </c>
    </row>
    <row r="84" spans="1:7">
      <c r="A84">
        <v>81</v>
      </c>
      <c r="B84" s="4">
        <f>-PPMT('Owner Occupier'!$D$41/12,'FHA Amotization'!$A84,360,'Owner Occupier'!$D$40,0,0)</f>
        <v>716.20968194361001</v>
      </c>
      <c r="C84" s="4">
        <f>-IPMT('Owner Occupier'!$D$41/12,'FHA Amotization'!$A84,360,'Owner Occupier'!$D$40,0,0)</f>
        <v>1211.1141451172093</v>
      </c>
      <c r="D84" s="4">
        <f t="shared" si="3"/>
        <v>1927.3238270608194</v>
      </c>
      <c r="E84" s="3">
        <f t="shared" si="4"/>
        <v>341245.4312923273</v>
      </c>
      <c r="F84" s="4">
        <f>('Owner Occupier'!$H$24-'Owner Occupier'!$D$52)/('Owner Occupier'!$D$56-'Owner Occupier'!$D$52)*B84</f>
        <v>333.30136240768473</v>
      </c>
      <c r="G84" s="4">
        <f t="shared" si="5"/>
        <v>23517.35487395302</v>
      </c>
    </row>
    <row r="85" spans="1:7">
      <c r="A85">
        <v>82</v>
      </c>
      <c r="B85" s="4">
        <f>-PPMT('Owner Occupier'!$D$41/12,'FHA Amotization'!$A85,360,'Owner Occupier'!$D$40,0,0)</f>
        <v>718.74625790049367</v>
      </c>
      <c r="C85" s="4">
        <f>-IPMT('Owner Occupier'!$D$41/12,'FHA Amotization'!$A85,360,'Owner Occupier'!$D$40,0,0)</f>
        <v>1208.5775691603258</v>
      </c>
      <c r="D85" s="4">
        <f t="shared" si="3"/>
        <v>1927.3238270608194</v>
      </c>
      <c r="E85" s="3">
        <f t="shared" si="4"/>
        <v>340526.6850344268</v>
      </c>
      <c r="F85" s="4">
        <f>('Owner Occupier'!$H$24-'Owner Occupier'!$D$52)/('Owner Occupier'!$D$56-'Owner Occupier'!$D$52)*B85</f>
        <v>334.48180473287863</v>
      </c>
      <c r="G85" s="4">
        <f t="shared" si="5"/>
        <v>23851.836678685897</v>
      </c>
    </row>
    <row r="86" spans="1:7">
      <c r="A86">
        <v>83</v>
      </c>
      <c r="B86" s="4">
        <f>-PPMT('Owner Occupier'!$D$41/12,'FHA Amotization'!$A86,360,'Owner Occupier'!$D$40,0,0)</f>
        <v>721.2918175638913</v>
      </c>
      <c r="C86" s="4">
        <f>-IPMT('Owner Occupier'!$D$41/12,'FHA Amotization'!$A86,360,'Owner Occupier'!$D$40,0,0)</f>
        <v>1206.0320094969284</v>
      </c>
      <c r="D86" s="4">
        <f t="shared" si="3"/>
        <v>1927.3238270608197</v>
      </c>
      <c r="E86" s="3">
        <f t="shared" si="4"/>
        <v>339805.39321686293</v>
      </c>
      <c r="F86" s="4">
        <f>('Owner Occupier'!$H$24-'Owner Occupier'!$D$52)/('Owner Occupier'!$D$56-'Owner Occupier'!$D$52)*B86</f>
        <v>335.66642779130757</v>
      </c>
      <c r="G86" s="4">
        <f t="shared" si="5"/>
        <v>24187.503106477205</v>
      </c>
    </row>
    <row r="87" spans="1:7">
      <c r="A87">
        <v>84</v>
      </c>
      <c r="B87" s="4">
        <f>-PPMT('Owner Occupier'!$D$41/12,'FHA Amotization'!$A87,360,'Owner Occupier'!$D$40,0,0)</f>
        <v>723.8463927510968</v>
      </c>
      <c r="C87" s="4">
        <f>-IPMT('Owner Occupier'!$D$41/12,'FHA Amotization'!$A87,360,'Owner Occupier'!$D$40,0,0)</f>
        <v>1203.4774343097226</v>
      </c>
      <c r="D87" s="4">
        <f t="shared" si="3"/>
        <v>1927.3238270608194</v>
      </c>
      <c r="E87" s="3">
        <f t="shared" si="4"/>
        <v>339081.54682411184</v>
      </c>
      <c r="F87" s="4">
        <f>('Owner Occupier'!$H$24-'Owner Occupier'!$D$52)/('Owner Occupier'!$D$56-'Owner Occupier'!$D$52)*B87</f>
        <v>336.85524638973516</v>
      </c>
      <c r="G87" s="4">
        <f t="shared" si="5"/>
        <v>24524.358352866941</v>
      </c>
    </row>
    <row r="88" spans="1:7">
      <c r="A88">
        <v>85</v>
      </c>
      <c r="B88" s="4">
        <f>-PPMT('Owner Occupier'!$D$41/12,'FHA Amotization'!$A88,360,'Owner Occupier'!$D$40,0,0)</f>
        <v>726.41001539209014</v>
      </c>
      <c r="C88" s="4">
        <f>-IPMT('Owner Occupier'!$D$41/12,'FHA Amotization'!$A88,360,'Owner Occupier'!$D$40,0,0)</f>
        <v>1200.9138116687293</v>
      </c>
      <c r="D88" s="4">
        <f t="shared" si="3"/>
        <v>1927.3238270608194</v>
      </c>
      <c r="E88" s="3">
        <f t="shared" si="4"/>
        <v>338355.13680871972</v>
      </c>
      <c r="F88" s="4">
        <f>('Owner Occupier'!$H$24-'Owner Occupier'!$D$52)/('Owner Occupier'!$D$56-'Owner Occupier'!$D$52)*B88</f>
        <v>338.04827538736544</v>
      </c>
      <c r="G88" s="4">
        <f t="shared" si="5"/>
        <v>24862.406628254306</v>
      </c>
    </row>
    <row r="89" spans="1:7">
      <c r="A89">
        <v>86</v>
      </c>
      <c r="B89" s="4">
        <f>-PPMT('Owner Occupier'!$D$41/12,'FHA Amotization'!$A89,360,'Owner Occupier'!$D$40,0,0)</f>
        <v>728.9827175299373</v>
      </c>
      <c r="C89" s="4">
        <f>-IPMT('Owner Occupier'!$D$41/12,'FHA Amotization'!$A89,360,'Owner Occupier'!$D$40,0,0)</f>
        <v>1198.3411095308825</v>
      </c>
      <c r="D89" s="4">
        <f t="shared" si="3"/>
        <v>1927.3238270608199</v>
      </c>
      <c r="E89" s="3">
        <f t="shared" si="4"/>
        <v>337626.15409118979</v>
      </c>
      <c r="F89" s="4">
        <f>('Owner Occupier'!$H$24-'Owner Occupier'!$D$52)/('Owner Occupier'!$D$56-'Owner Occupier'!$D$52)*B89</f>
        <v>339.24552969602905</v>
      </c>
      <c r="G89" s="4">
        <f t="shared" si="5"/>
        <v>25201.652157950335</v>
      </c>
    </row>
    <row r="90" spans="1:7">
      <c r="A90">
        <v>87</v>
      </c>
      <c r="B90" s="4">
        <f>-PPMT('Owner Occupier'!$D$41/12,'FHA Amotization'!$A90,360,'Owner Occupier'!$D$40,0,0)</f>
        <v>731.56453132118907</v>
      </c>
      <c r="C90" s="4">
        <f>-IPMT('Owner Occupier'!$D$41/12,'FHA Amotization'!$A90,360,'Owner Occupier'!$D$40,0,0)</f>
        <v>1195.7592957396305</v>
      </c>
      <c r="D90" s="4">
        <f t="shared" si="3"/>
        <v>1927.3238270608194</v>
      </c>
      <c r="E90" s="3">
        <f t="shared" si="4"/>
        <v>336894.58955986862</v>
      </c>
      <c r="F90" s="4">
        <f>('Owner Occupier'!$H$24-'Owner Occupier'!$D$52)/('Owner Occupier'!$D$56-'Owner Occupier'!$D$52)*B90</f>
        <v>340.44702428036913</v>
      </c>
      <c r="G90" s="4">
        <f t="shared" si="5"/>
        <v>25542.099182230704</v>
      </c>
    </row>
    <row r="91" spans="1:7">
      <c r="A91">
        <v>88</v>
      </c>
      <c r="B91" s="4">
        <f>-PPMT('Owner Occupier'!$D$41/12,'FHA Amotization'!$A91,360,'Owner Occupier'!$D$40,0,0)</f>
        <v>734.15548903628508</v>
      </c>
      <c r="C91" s="4">
        <f>-IPMT('Owner Occupier'!$D$41/12,'FHA Amotization'!$A91,360,'Owner Occupier'!$D$40,0,0)</f>
        <v>1193.1683380245345</v>
      </c>
      <c r="D91" s="4">
        <f t="shared" si="3"/>
        <v>1927.3238270608194</v>
      </c>
      <c r="E91" s="3">
        <f t="shared" si="4"/>
        <v>336160.43407083233</v>
      </c>
      <c r="F91" s="4">
        <f>('Owner Occupier'!$H$24-'Owner Occupier'!$D$52)/('Owner Occupier'!$D$56-'Owner Occupier'!$D$52)*B91</f>
        <v>341.65277415802882</v>
      </c>
      <c r="G91" s="4">
        <f t="shared" si="5"/>
        <v>25883.751956388733</v>
      </c>
    </row>
    <row r="92" spans="1:7">
      <c r="A92">
        <v>89</v>
      </c>
      <c r="B92" s="4">
        <f>-PPMT('Owner Occupier'!$D$41/12,'FHA Amotization'!$A92,360,'Owner Occupier'!$D$40,0,0)</f>
        <v>736.75562305995527</v>
      </c>
      <c r="C92" s="4">
        <f>-IPMT('Owner Occupier'!$D$41/12,'FHA Amotization'!$A92,360,'Owner Occupier'!$D$40,0,0)</f>
        <v>1190.5682040008644</v>
      </c>
      <c r="D92" s="4">
        <f t="shared" si="3"/>
        <v>1927.3238270608197</v>
      </c>
      <c r="E92" s="3">
        <f t="shared" si="4"/>
        <v>335423.6784477724</v>
      </c>
      <c r="F92" s="4">
        <f>('Owner Occupier'!$H$24-'Owner Occupier'!$D$52)/('Owner Occupier'!$D$56-'Owner Occupier'!$D$52)*B92</f>
        <v>342.86279439983855</v>
      </c>
      <c r="G92" s="4">
        <f t="shared" si="5"/>
        <v>26226.614750788573</v>
      </c>
    </row>
    <row r="93" spans="1:7">
      <c r="A93">
        <v>90</v>
      </c>
      <c r="B93" s="4">
        <f>-PPMT('Owner Occupier'!$D$41/12,'FHA Amotization'!$A93,360,'Owner Occupier'!$D$40,0,0)</f>
        <v>739.36496589162584</v>
      </c>
      <c r="C93" s="4">
        <f>-IPMT('Owner Occupier'!$D$41/12,'FHA Amotization'!$A93,360,'Owner Occupier'!$D$40,0,0)</f>
        <v>1187.9588611691938</v>
      </c>
      <c r="D93" s="4">
        <f t="shared" si="3"/>
        <v>1927.3238270608197</v>
      </c>
      <c r="E93" s="3">
        <f t="shared" si="4"/>
        <v>334684.31348188076</v>
      </c>
      <c r="F93" s="4">
        <f>('Owner Occupier'!$H$24-'Owner Occupier'!$D$52)/('Owner Occupier'!$D$56-'Owner Occupier'!$D$52)*B93</f>
        <v>344.07710013000457</v>
      </c>
      <c r="G93" s="4">
        <f t="shared" si="5"/>
        <v>26570.691850918578</v>
      </c>
    </row>
    <row r="94" spans="1:7">
      <c r="A94">
        <v>91</v>
      </c>
      <c r="B94" s="4">
        <f>-PPMT('Owner Occupier'!$D$41/12,'FHA Amotization'!$A94,360,'Owner Occupier'!$D$40,0,0)</f>
        <v>741.98355014582523</v>
      </c>
      <c r="C94" s="4">
        <f>-IPMT('Owner Occupier'!$D$41/12,'FHA Amotization'!$A94,360,'Owner Occupier'!$D$40,0,0)</f>
        <v>1185.3402769149943</v>
      </c>
      <c r="D94" s="4">
        <f t="shared" si="3"/>
        <v>1927.3238270608194</v>
      </c>
      <c r="E94" s="3">
        <f t="shared" si="4"/>
        <v>333942.32993173494</v>
      </c>
      <c r="F94" s="4">
        <f>('Owner Occupier'!$H$24-'Owner Occupier'!$D$52)/('Owner Occupier'!$D$56-'Owner Occupier'!$D$52)*B94</f>
        <v>345.29570652629826</v>
      </c>
      <c r="G94" s="4">
        <f t="shared" si="5"/>
        <v>26915.987557444878</v>
      </c>
    </row>
    <row r="95" spans="1:7">
      <c r="A95">
        <v>92</v>
      </c>
      <c r="B95" s="4">
        <f>-PPMT('Owner Occupier'!$D$41/12,'FHA Amotization'!$A95,360,'Owner Occupier'!$D$40,0,0)</f>
        <v>744.6114085525918</v>
      </c>
      <c r="C95" s="4">
        <f>-IPMT('Owner Occupier'!$D$41/12,'FHA Amotization'!$A95,360,'Owner Occupier'!$D$40,0,0)</f>
        <v>1182.7124185082278</v>
      </c>
      <c r="D95" s="4">
        <f t="shared" si="3"/>
        <v>1927.3238270608194</v>
      </c>
      <c r="E95" s="3">
        <f t="shared" si="4"/>
        <v>333197.71852318232</v>
      </c>
      <c r="F95" s="4">
        <f>('Owner Occupier'!$H$24-'Owner Occupier'!$D$52)/('Owner Occupier'!$D$56-'Owner Occupier'!$D$52)*B95</f>
        <v>346.51862882024562</v>
      </c>
      <c r="G95" s="4">
        <f t="shared" si="5"/>
        <v>27262.506186265124</v>
      </c>
    </row>
    <row r="96" spans="1:7">
      <c r="A96">
        <v>93</v>
      </c>
      <c r="B96" s="4">
        <f>-PPMT('Owner Occupier'!$D$41/12,'FHA Amotization'!$A96,360,'Owner Occupier'!$D$40,0,0)</f>
        <v>747.24857395788217</v>
      </c>
      <c r="C96" s="4">
        <f>-IPMT('Owner Occupier'!$D$41/12,'FHA Amotization'!$A96,360,'Owner Occupier'!$D$40,0,0)</f>
        <v>1180.0752531029373</v>
      </c>
      <c r="D96" s="4">
        <f t="shared" si="3"/>
        <v>1927.3238270608194</v>
      </c>
      <c r="E96" s="3">
        <f t="shared" si="4"/>
        <v>332450.46994922444</v>
      </c>
      <c r="F96" s="4">
        <f>('Owner Occupier'!$H$24-'Owner Occupier'!$D$52)/('Owner Occupier'!$D$56-'Owner Occupier'!$D$52)*B96</f>
        <v>347.74588229731734</v>
      </c>
      <c r="G96" s="4">
        <f t="shared" si="5"/>
        <v>27610.25206856244</v>
      </c>
    </row>
    <row r="97" spans="1:7">
      <c r="A97">
        <v>94</v>
      </c>
      <c r="B97" s="4">
        <f>-PPMT('Owner Occupier'!$D$41/12,'FHA Amotization'!$A97,360,'Owner Occupier'!$D$40,0,0)</f>
        <v>749.89507932398305</v>
      </c>
      <c r="C97" s="4">
        <f>-IPMT('Owner Occupier'!$D$41/12,'FHA Amotization'!$A97,360,'Owner Occupier'!$D$40,0,0)</f>
        <v>1177.4287477368366</v>
      </c>
      <c r="D97" s="4">
        <f t="shared" si="3"/>
        <v>1927.3238270608197</v>
      </c>
      <c r="E97" s="3">
        <f t="shared" si="4"/>
        <v>331700.57486990048</v>
      </c>
      <c r="F97" s="4">
        <f>('Owner Occupier'!$H$24-'Owner Occupier'!$D$52)/('Owner Occupier'!$D$56-'Owner Occupier'!$D$52)*B97</f>
        <v>348.97748229712033</v>
      </c>
      <c r="G97" s="4">
        <f t="shared" si="5"/>
        <v>27959.22955085956</v>
      </c>
    </row>
    <row r="98" spans="1:7">
      <c r="A98">
        <v>95</v>
      </c>
      <c r="B98" s="4">
        <f>-PPMT('Owner Occupier'!$D$41/12,'FHA Amotization'!$A98,360,'Owner Occupier'!$D$40,0,0)</f>
        <v>752.55095772992217</v>
      </c>
      <c r="C98" s="4">
        <f>-IPMT('Owner Occupier'!$D$41/12,'FHA Amotization'!$A98,360,'Owner Occupier'!$D$40,0,0)</f>
        <v>1174.7728693308975</v>
      </c>
      <c r="D98" s="4">
        <f t="shared" si="3"/>
        <v>1927.3238270608197</v>
      </c>
      <c r="E98" s="3">
        <f t="shared" si="4"/>
        <v>330948.02391217055</v>
      </c>
      <c r="F98" s="4">
        <f>('Owner Occupier'!$H$24-'Owner Occupier'!$D$52)/('Owner Occupier'!$D$56-'Owner Occupier'!$D$52)*B98</f>
        <v>350.2134442135893</v>
      </c>
      <c r="G98" s="4">
        <f t="shared" si="5"/>
        <v>28309.44299507315</v>
      </c>
    </row>
    <row r="99" spans="1:7">
      <c r="A99">
        <v>96</v>
      </c>
      <c r="B99" s="4">
        <f>-PPMT('Owner Occupier'!$D$41/12,'FHA Amotization'!$A99,360,'Owner Occupier'!$D$40,0,0)</f>
        <v>755.21624237188223</v>
      </c>
      <c r="C99" s="4">
        <f>-IPMT('Owner Occupier'!$D$41/12,'FHA Amotization'!$A99,360,'Owner Occupier'!$D$40,0,0)</f>
        <v>1172.1075846889371</v>
      </c>
      <c r="D99" s="4">
        <f t="shared" si="3"/>
        <v>1927.3238270608194</v>
      </c>
      <c r="E99" s="3">
        <f t="shared" si="4"/>
        <v>330192.80766979867</v>
      </c>
      <c r="F99" s="4">
        <f>('Owner Occupier'!$H$24-'Owner Occupier'!$D$52)/('Owner Occupier'!$D$56-'Owner Occupier'!$D$52)*B99</f>
        <v>351.4537834951791</v>
      </c>
      <c r="G99" s="4">
        <f t="shared" si="5"/>
        <v>28660.896778568331</v>
      </c>
    </row>
    <row r="100" spans="1:7">
      <c r="A100">
        <v>97</v>
      </c>
      <c r="B100" s="4">
        <f>-PPMT('Owner Occupier'!$D$41/12,'FHA Amotization'!$A100,360,'Owner Occupier'!$D$40,0,0)</f>
        <v>757.89096656361608</v>
      </c>
      <c r="C100" s="4">
        <f>-IPMT('Owner Occupier'!$D$41/12,'FHA Amotization'!$A100,360,'Owner Occupier'!$D$40,0,0)</f>
        <v>1169.4328604972036</v>
      </c>
      <c r="D100" s="4">
        <f t="shared" si="3"/>
        <v>1927.3238270608197</v>
      </c>
      <c r="E100" s="3">
        <f t="shared" si="4"/>
        <v>329434.91670323507</v>
      </c>
      <c r="F100" s="4">
        <f>('Owner Occupier'!$H$24-'Owner Occupier'!$D$52)/('Owner Occupier'!$D$56-'Owner Occupier'!$D$52)*B100</f>
        <v>352.69851564505785</v>
      </c>
      <c r="G100" s="4">
        <f t="shared" si="5"/>
        <v>29013.595294213388</v>
      </c>
    </row>
    <row r="101" spans="1:7">
      <c r="A101">
        <v>98</v>
      </c>
      <c r="B101" s="4">
        <f>-PPMT('Owner Occupier'!$D$41/12,'FHA Amotization'!$A101,360,'Owner Occupier'!$D$40,0,0)</f>
        <v>760.57516373686224</v>
      </c>
      <c r="C101" s="4">
        <f>-IPMT('Owner Occupier'!$D$41/12,'FHA Amotization'!$A101,360,'Owner Occupier'!$D$40,0,0)</f>
        <v>1166.7486633239571</v>
      </c>
      <c r="D101" s="4">
        <f t="shared" si="3"/>
        <v>1927.3238270608194</v>
      </c>
      <c r="E101" s="3">
        <f t="shared" si="4"/>
        <v>328674.34153949819</v>
      </c>
      <c r="F101" s="4">
        <f>('Owner Occupier'!$H$24-'Owner Occupier'!$D$52)/('Owner Occupier'!$D$56-'Owner Occupier'!$D$52)*B101</f>
        <v>353.9476562213008</v>
      </c>
      <c r="G101" s="4">
        <f t="shared" si="5"/>
        <v>29367.54295043469</v>
      </c>
    </row>
    <row r="102" spans="1:7">
      <c r="A102">
        <v>99</v>
      </c>
      <c r="B102" s="4">
        <f>-PPMT('Owner Occupier'!$D$41/12,'FHA Amotization'!$A102,360,'Owner Occupier'!$D$40,0,0)</f>
        <v>763.26886744176352</v>
      </c>
      <c r="C102" s="4">
        <f>-IPMT('Owner Occupier'!$D$41/12,'FHA Amotization'!$A102,360,'Owner Occupier'!$D$40,0,0)</f>
        <v>1164.0549596190563</v>
      </c>
      <c r="D102" s="4">
        <f t="shared" si="3"/>
        <v>1927.3238270608199</v>
      </c>
      <c r="E102" s="3">
        <f t="shared" si="4"/>
        <v>327911.07267205644</v>
      </c>
      <c r="F102" s="4">
        <f>('Owner Occupier'!$H$24-'Owner Occupier'!$D$52)/('Owner Occupier'!$D$56-'Owner Occupier'!$D$52)*B102</f>
        <v>355.20122083708452</v>
      </c>
      <c r="G102" s="4">
        <f t="shared" si="5"/>
        <v>29722.744171271774</v>
      </c>
    </row>
    <row r="103" spans="1:7">
      <c r="A103">
        <v>100</v>
      </c>
      <c r="B103" s="4">
        <f>-PPMT('Owner Occupier'!$D$41/12,'FHA Amotization'!$A103,360,'Owner Occupier'!$D$40,0,0)</f>
        <v>765.9721113472865</v>
      </c>
      <c r="C103" s="4">
        <f>-IPMT('Owner Occupier'!$D$41/12,'FHA Amotization'!$A103,360,'Owner Occupier'!$D$40,0,0)</f>
        <v>1161.3517157135332</v>
      </c>
      <c r="D103" s="4">
        <f t="shared" si="3"/>
        <v>1927.3238270608197</v>
      </c>
      <c r="E103" s="3">
        <f t="shared" si="4"/>
        <v>327145.10056070914</v>
      </c>
      <c r="F103" s="4">
        <f>('Owner Occupier'!$H$24-'Owner Occupier'!$D$52)/('Owner Occupier'!$D$56-'Owner Occupier'!$D$52)*B103</f>
        <v>356.45922516088257</v>
      </c>
      <c r="G103" s="4">
        <f t="shared" si="5"/>
        <v>30079.203396432655</v>
      </c>
    </row>
    <row r="104" spans="1:7">
      <c r="A104">
        <v>101</v>
      </c>
      <c r="B104" s="4">
        <f>-PPMT('Owner Occupier'!$D$41/12,'FHA Amotization'!$A104,360,'Owner Occupier'!$D$40,0,0)</f>
        <v>768.68492924164138</v>
      </c>
      <c r="C104" s="4">
        <f>-IPMT('Owner Occupier'!$D$41/12,'FHA Amotization'!$A104,360,'Owner Occupier'!$D$40,0,0)</f>
        <v>1158.6388978191781</v>
      </c>
      <c r="D104" s="4">
        <f t="shared" si="3"/>
        <v>1927.3238270608194</v>
      </c>
      <c r="E104" s="3">
        <f t="shared" si="4"/>
        <v>326376.41563146748</v>
      </c>
      <c r="F104" s="4">
        <f>('Owner Occupier'!$H$24-'Owner Occupier'!$D$52)/('Owner Occupier'!$D$56-'Owner Occupier'!$D$52)*B104</f>
        <v>357.72168491666065</v>
      </c>
      <c r="G104" s="4">
        <f t="shared" si="5"/>
        <v>30436.925081349316</v>
      </c>
    </row>
    <row r="105" spans="1:7">
      <c r="A105">
        <v>102</v>
      </c>
      <c r="B105" s="4">
        <f>-PPMT('Owner Occupier'!$D$41/12,'FHA Amotization'!$A105,360,'Owner Occupier'!$D$40,0,0)</f>
        <v>771.40735503270548</v>
      </c>
      <c r="C105" s="4">
        <f>-IPMT('Owner Occupier'!$D$41/12,'FHA Amotization'!$A105,360,'Owner Occupier'!$D$40,0,0)</f>
        <v>1155.916472028114</v>
      </c>
      <c r="D105" s="4">
        <f t="shared" si="3"/>
        <v>1927.3238270608194</v>
      </c>
      <c r="E105" s="3">
        <f t="shared" si="4"/>
        <v>325605.00827643479</v>
      </c>
      <c r="F105" s="4">
        <f>('Owner Occupier'!$H$24-'Owner Occupier'!$D$52)/('Owner Occupier'!$D$56-'Owner Occupier'!$D$52)*B105</f>
        <v>358.98861588407379</v>
      </c>
      <c r="G105" s="4">
        <f t="shared" si="5"/>
        <v>30795.913697233391</v>
      </c>
    </row>
    <row r="106" spans="1:7">
      <c r="A106">
        <v>103</v>
      </c>
      <c r="B106" s="4">
        <f>-PPMT('Owner Occupier'!$D$41/12,'FHA Amotization'!$A106,360,'Owner Occupier'!$D$40,0,0)</f>
        <v>774.13942274844646</v>
      </c>
      <c r="C106" s="4">
        <f>-IPMT('Owner Occupier'!$D$41/12,'FHA Amotization'!$A106,360,'Owner Occupier'!$D$40,0,0)</f>
        <v>1153.1844043123733</v>
      </c>
      <c r="D106" s="4">
        <f t="shared" si="3"/>
        <v>1927.3238270608199</v>
      </c>
      <c r="E106" s="3">
        <f t="shared" si="4"/>
        <v>324830.86885368632</v>
      </c>
      <c r="F106" s="4">
        <f>('Owner Occupier'!$H$24-'Owner Occupier'!$D$52)/('Owner Occupier'!$D$56-'Owner Occupier'!$D$52)*B106</f>
        <v>360.26003389866327</v>
      </c>
      <c r="G106" s="4">
        <f t="shared" si="5"/>
        <v>31156.173731132054</v>
      </c>
    </row>
    <row r="107" spans="1:7">
      <c r="A107">
        <v>104</v>
      </c>
      <c r="B107" s="4">
        <f>-PPMT('Owner Occupier'!$D$41/12,'FHA Amotization'!$A107,360,'Owner Occupier'!$D$40,0,0)</f>
        <v>776.88116653734721</v>
      </c>
      <c r="C107" s="4">
        <f>-IPMT('Owner Occupier'!$D$41/12,'FHA Amotization'!$A107,360,'Owner Occupier'!$D$40,0,0)</f>
        <v>1150.4426605234726</v>
      </c>
      <c r="D107" s="4">
        <f t="shared" si="3"/>
        <v>1927.3238270608199</v>
      </c>
      <c r="E107" s="3">
        <f t="shared" si="4"/>
        <v>324053.98768714897</v>
      </c>
      <c r="F107" s="4">
        <f>('Owner Occupier'!$H$24-'Owner Occupier'!$D$52)/('Owner Occupier'!$D$56-'Owner Occupier'!$D$52)*B107</f>
        <v>361.53595485205437</v>
      </c>
      <c r="G107" s="4">
        <f t="shared" si="5"/>
        <v>31517.709685984108</v>
      </c>
    </row>
    <row r="108" spans="1:7">
      <c r="A108">
        <v>105</v>
      </c>
      <c r="B108" s="4">
        <f>-PPMT('Owner Occupier'!$D$41/12,'FHA Amotization'!$A108,360,'Owner Occupier'!$D$40,0,0)</f>
        <v>779.63262066883362</v>
      </c>
      <c r="C108" s="4">
        <f>-IPMT('Owner Occupier'!$D$41/12,'FHA Amotization'!$A108,360,'Owner Occupier'!$D$40,0,0)</f>
        <v>1147.691206391986</v>
      </c>
      <c r="D108" s="4">
        <f t="shared" si="3"/>
        <v>1927.3238270608197</v>
      </c>
      <c r="E108" s="3">
        <f t="shared" si="4"/>
        <v>323274.35506648012</v>
      </c>
      <c r="F108" s="4">
        <f>('Owner Occupier'!$H$24-'Owner Occupier'!$D$52)/('Owner Occupier'!$D$56-'Owner Occupier'!$D$52)*B108</f>
        <v>362.81639469215543</v>
      </c>
      <c r="G108" s="4">
        <f t="shared" si="5"/>
        <v>31880.526080676264</v>
      </c>
    </row>
    <row r="109" spans="1:7">
      <c r="A109">
        <v>106</v>
      </c>
      <c r="B109" s="4">
        <f>-PPMT('Owner Occupier'!$D$41/12,'FHA Amotization'!$A109,360,'Owner Occupier'!$D$40,0,0)</f>
        <v>782.39381953370241</v>
      </c>
      <c r="C109" s="4">
        <f>-IPMT('Owner Occupier'!$D$41/12,'FHA Amotization'!$A109,360,'Owner Occupier'!$D$40,0,0)</f>
        <v>1144.9300075271171</v>
      </c>
      <c r="D109" s="4">
        <f t="shared" si="3"/>
        <v>1927.3238270608194</v>
      </c>
      <c r="E109" s="3">
        <f t="shared" si="4"/>
        <v>322491.96124694642</v>
      </c>
      <c r="F109" s="4">
        <f>('Owner Occupier'!$H$24-'Owner Occupier'!$D$52)/('Owner Occupier'!$D$56-'Owner Occupier'!$D$52)*B109</f>
        <v>364.1013694233568</v>
      </c>
      <c r="G109" s="4">
        <f t="shared" si="5"/>
        <v>32244.627450099619</v>
      </c>
    </row>
    <row r="110" spans="1:7">
      <c r="A110">
        <v>107</v>
      </c>
      <c r="B110" s="4">
        <f>-PPMT('Owner Occupier'!$D$41/12,'FHA Amotization'!$A110,360,'Owner Occupier'!$D$40,0,0)</f>
        <v>785.16479764455096</v>
      </c>
      <c r="C110" s="4">
        <f>-IPMT('Owner Occupier'!$D$41/12,'FHA Amotization'!$A110,360,'Owner Occupier'!$D$40,0,0)</f>
        <v>1142.1590294162686</v>
      </c>
      <c r="D110" s="4">
        <f t="shared" si="3"/>
        <v>1927.3238270608194</v>
      </c>
      <c r="E110" s="3">
        <f t="shared" si="4"/>
        <v>321706.79644930188</v>
      </c>
      <c r="F110" s="4">
        <f>('Owner Occupier'!$H$24-'Owner Occupier'!$D$52)/('Owner Occupier'!$D$56-'Owner Occupier'!$D$52)*B110</f>
        <v>365.39089510673119</v>
      </c>
      <c r="G110" s="4">
        <f t="shared" si="5"/>
        <v>32610.01834520635</v>
      </c>
    </row>
    <row r="111" spans="1:7">
      <c r="A111">
        <v>108</v>
      </c>
      <c r="B111" s="4">
        <f>-PPMT('Owner Occupier'!$D$41/12,'FHA Amotization'!$A111,360,'Owner Occupier'!$D$40,0,0)</f>
        <v>787.94558963620864</v>
      </c>
      <c r="C111" s="4">
        <f>-IPMT('Owner Occupier'!$D$41/12,'FHA Amotization'!$A111,360,'Owner Occupier'!$D$40,0,0)</f>
        <v>1139.3782374246109</v>
      </c>
      <c r="D111" s="4">
        <f t="shared" si="3"/>
        <v>1927.3238270608194</v>
      </c>
      <c r="E111" s="3">
        <f t="shared" si="4"/>
        <v>320918.85085966566</v>
      </c>
      <c r="F111" s="4">
        <f>('Owner Occupier'!$H$24-'Owner Occupier'!$D$52)/('Owner Occupier'!$D$56-'Owner Occupier'!$D$52)*B111</f>
        <v>366.68498786023412</v>
      </c>
      <c r="G111" s="4">
        <f t="shared" si="5"/>
        <v>32976.703333066587</v>
      </c>
    </row>
    <row r="112" spans="1:7">
      <c r="A112">
        <v>109</v>
      </c>
      <c r="B112" s="4">
        <f>-PPMT('Owner Occupier'!$D$41/12,'FHA Amotization'!$A112,360,'Owner Occupier'!$D$40,0,0)</f>
        <v>790.73623026617031</v>
      </c>
      <c r="C112" s="4">
        <f>-IPMT('Owner Occupier'!$D$41/12,'FHA Amotization'!$A112,360,'Owner Occupier'!$D$40,0,0)</f>
        <v>1136.587596794649</v>
      </c>
      <c r="D112" s="4">
        <f t="shared" si="3"/>
        <v>1927.3238270608194</v>
      </c>
      <c r="E112" s="3">
        <f t="shared" si="4"/>
        <v>320128.1146293995</v>
      </c>
      <c r="F112" s="4">
        <f>('Owner Occupier'!$H$24-'Owner Occupier'!$D$52)/('Owner Occupier'!$D$56-'Owner Occupier'!$D$52)*B112</f>
        <v>367.98366385890586</v>
      </c>
      <c r="G112" s="4">
        <f t="shared" si="5"/>
        <v>33344.686996925491</v>
      </c>
    </row>
    <row r="113" spans="1:7">
      <c r="A113">
        <v>110</v>
      </c>
      <c r="B113" s="4">
        <f>-PPMT('Owner Occupier'!$D$41/12,'FHA Amotization'!$A113,360,'Owner Occupier'!$D$40,0,0)</f>
        <v>793.53675441502958</v>
      </c>
      <c r="C113" s="4">
        <f>-IPMT('Owner Occupier'!$D$41/12,'FHA Amotization'!$A113,360,'Owner Occupier'!$D$40,0,0)</f>
        <v>1133.78707264579</v>
      </c>
      <c r="D113" s="4">
        <f t="shared" si="3"/>
        <v>1927.3238270608194</v>
      </c>
      <c r="E113" s="3">
        <f t="shared" si="4"/>
        <v>319334.57787498448</v>
      </c>
      <c r="F113" s="4">
        <f>('Owner Occupier'!$H$24-'Owner Occupier'!$D$52)/('Owner Occupier'!$D$56-'Owner Occupier'!$D$52)*B113</f>
        <v>369.28693933507276</v>
      </c>
      <c r="G113" s="4">
        <f t="shared" si="5"/>
        <v>33713.973936260561</v>
      </c>
    </row>
    <row r="114" spans="1:7">
      <c r="A114">
        <v>111</v>
      </c>
      <c r="B114" s="4">
        <f>-PPMT('Owner Occupier'!$D$41/12,'FHA Amotization'!$A114,360,'Owner Occupier'!$D$40,0,0)</f>
        <v>796.34719708691614</v>
      </c>
      <c r="C114" s="4">
        <f>-IPMT('Owner Occupier'!$D$41/12,'FHA Amotization'!$A114,360,'Owner Occupier'!$D$40,0,0)</f>
        <v>1130.9766299739035</v>
      </c>
      <c r="D114" s="4">
        <f t="shared" si="3"/>
        <v>1927.3238270608197</v>
      </c>
      <c r="E114" s="3">
        <f t="shared" si="4"/>
        <v>318538.23067789758</v>
      </c>
      <c r="F114" s="4">
        <f>('Owner Occupier'!$H$24-'Owner Occupier'!$D$52)/('Owner Occupier'!$D$56-'Owner Occupier'!$D$52)*B114</f>
        <v>370.59483057855118</v>
      </c>
      <c r="G114" s="4">
        <f t="shared" si="5"/>
        <v>34084.568766839111</v>
      </c>
    </row>
    <row r="115" spans="1:7">
      <c r="A115">
        <v>112</v>
      </c>
      <c r="B115" s="4">
        <f>-PPMT('Owner Occupier'!$D$41/12,'FHA Amotization'!$A115,360,'Owner Occupier'!$D$40,0,0)</f>
        <v>799.16759340993235</v>
      </c>
      <c r="C115" s="4">
        <f>-IPMT('Owner Occupier'!$D$41/12,'FHA Amotization'!$A115,360,'Owner Occupier'!$D$40,0,0)</f>
        <v>1128.1562336508871</v>
      </c>
      <c r="D115" s="4">
        <f t="shared" si="3"/>
        <v>1927.3238270608194</v>
      </c>
      <c r="E115" s="3">
        <f t="shared" si="4"/>
        <v>317739.06308448763</v>
      </c>
      <c r="F115" s="4">
        <f>('Owner Occupier'!$H$24-'Owner Occupier'!$D$52)/('Owner Occupier'!$D$56-'Owner Occupier'!$D$52)*B115</f>
        <v>371.9073539368502</v>
      </c>
      <c r="G115" s="4">
        <f t="shared" si="5"/>
        <v>34456.476120775958</v>
      </c>
    </row>
    <row r="116" spans="1:7">
      <c r="A116">
        <v>113</v>
      </c>
      <c r="B116" s="4">
        <f>-PPMT('Owner Occupier'!$D$41/12,'FHA Amotization'!$A116,360,'Owner Occupier'!$D$40,0,0)</f>
        <v>801.99797863659251</v>
      </c>
      <c r="C116" s="4">
        <f>-IPMT('Owner Occupier'!$D$41/12,'FHA Amotization'!$A116,360,'Owner Occupier'!$D$40,0,0)</f>
        <v>1125.3258484242267</v>
      </c>
      <c r="D116" s="4">
        <f t="shared" si="3"/>
        <v>1927.3238270608192</v>
      </c>
      <c r="E116" s="3">
        <f t="shared" si="4"/>
        <v>316937.06510585104</v>
      </c>
      <c r="F116" s="4">
        <f>('Owner Occupier'!$H$24-'Owner Occupier'!$D$52)/('Owner Occupier'!$D$56-'Owner Occupier'!$D$52)*B116</f>
        <v>373.22452581537652</v>
      </c>
      <c r="G116" s="4">
        <f t="shared" si="5"/>
        <v>34829.700646591336</v>
      </c>
    </row>
    <row r="117" spans="1:7">
      <c r="A117">
        <v>114</v>
      </c>
      <c r="B117" s="4">
        <f>-PPMT('Owner Occupier'!$D$41/12,'FHA Amotization'!$A117,360,'Owner Occupier'!$D$40,0,0)</f>
        <v>804.83838814426383</v>
      </c>
      <c r="C117" s="4">
        <f>-IPMT('Owner Occupier'!$D$41/12,'FHA Amotization'!$A117,360,'Owner Occupier'!$D$40,0,0)</f>
        <v>1122.4854389165559</v>
      </c>
      <c r="D117" s="4">
        <f t="shared" si="3"/>
        <v>1927.3238270608199</v>
      </c>
      <c r="E117" s="3">
        <f t="shared" si="4"/>
        <v>316132.22671770677</v>
      </c>
      <c r="F117" s="4">
        <f>('Owner Occupier'!$H$24-'Owner Occupier'!$D$52)/('Owner Occupier'!$D$56-'Owner Occupier'!$D$52)*B117</f>
        <v>374.54636267763937</v>
      </c>
      <c r="G117" s="4">
        <f t="shared" si="5"/>
        <v>35204.247009268976</v>
      </c>
    </row>
    <row r="118" spans="1:7">
      <c r="A118">
        <v>115</v>
      </c>
      <c r="B118" s="4">
        <f>-PPMT('Owner Occupier'!$D$41/12,'FHA Amotization'!$A118,360,'Owner Occupier'!$D$40,0,0)</f>
        <v>807.68885743560804</v>
      </c>
      <c r="C118" s="4">
        <f>-IPMT('Owner Occupier'!$D$41/12,'FHA Amotization'!$A118,360,'Owner Occupier'!$D$40,0,0)</f>
        <v>1119.6349696252119</v>
      </c>
      <c r="D118" s="4">
        <f t="shared" si="3"/>
        <v>1927.3238270608199</v>
      </c>
      <c r="E118" s="3">
        <f t="shared" si="4"/>
        <v>315324.53786027117</v>
      </c>
      <c r="F118" s="4">
        <f>('Owner Occupier'!$H$24-'Owner Occupier'!$D$52)/('Owner Occupier'!$D$56-'Owner Occupier'!$D$52)*B118</f>
        <v>375.87288104545598</v>
      </c>
      <c r="G118" s="4">
        <f t="shared" si="5"/>
        <v>35580.119890314432</v>
      </c>
    </row>
    <row r="119" spans="1:7">
      <c r="A119">
        <v>116</v>
      </c>
      <c r="B119" s="4">
        <f>-PPMT('Owner Occupier'!$D$41/12,'FHA Amotization'!$A119,360,'Owner Occupier'!$D$40,0,0)</f>
        <v>810.54942213902586</v>
      </c>
      <c r="C119" s="4">
        <f>-IPMT('Owner Occupier'!$D$41/12,'FHA Amotization'!$A119,360,'Owner Occupier'!$D$40,0,0)</f>
        <v>1116.7744049217938</v>
      </c>
      <c r="D119" s="4">
        <f t="shared" si="3"/>
        <v>1927.3238270608197</v>
      </c>
      <c r="E119" s="3">
        <f t="shared" si="4"/>
        <v>314513.98843813216</v>
      </c>
      <c r="F119" s="4">
        <f>('Owner Occupier'!$H$24-'Owner Occupier'!$D$52)/('Owner Occupier'!$D$56-'Owner Occupier'!$D$52)*B119</f>
        <v>377.20409749915865</v>
      </c>
      <c r="G119" s="4">
        <f t="shared" si="5"/>
        <v>35957.323987813594</v>
      </c>
    </row>
    <row r="120" spans="1:7">
      <c r="A120">
        <v>117</v>
      </c>
      <c r="B120" s="4">
        <f>-PPMT('Owner Occupier'!$D$41/12,'FHA Amotization'!$A120,360,'Owner Occupier'!$D$40,0,0)</f>
        <v>813.42011800910154</v>
      </c>
      <c r="C120" s="4">
        <f>-IPMT('Owner Occupier'!$D$41/12,'FHA Amotization'!$A120,360,'Owner Occupier'!$D$40,0,0)</f>
        <v>1113.9037090517181</v>
      </c>
      <c r="D120" s="4">
        <f t="shared" si="3"/>
        <v>1927.3238270608197</v>
      </c>
      <c r="E120" s="3">
        <f t="shared" si="4"/>
        <v>313700.56832012307</v>
      </c>
      <c r="F120" s="4">
        <f>('Owner Occupier'!$H$24-'Owner Occupier'!$D$52)/('Owner Occupier'!$D$56-'Owner Occupier'!$D$52)*B120</f>
        <v>378.5400286778015</v>
      </c>
      <c r="G120" s="4">
        <f t="shared" si="5"/>
        <v>36335.864016491396</v>
      </c>
    </row>
    <row r="121" spans="1:7">
      <c r="A121">
        <v>118</v>
      </c>
      <c r="B121" s="4">
        <f>-PPMT('Owner Occupier'!$D$41/12,'FHA Amotization'!$A121,360,'Owner Occupier'!$D$40,0,0)</f>
        <v>816.30098092705055</v>
      </c>
      <c r="C121" s="4">
        <f>-IPMT('Owner Occupier'!$D$41/12,'FHA Amotization'!$A121,360,'Owner Occupier'!$D$40,0,0)</f>
        <v>1111.0228461337695</v>
      </c>
      <c r="D121" s="4">
        <f t="shared" si="3"/>
        <v>1927.3238270608199</v>
      </c>
      <c r="E121" s="3">
        <f t="shared" si="4"/>
        <v>312884.267339196</v>
      </c>
      <c r="F121" s="4">
        <f>('Owner Occupier'!$H$24-'Owner Occupier'!$D$52)/('Owner Occupier'!$D$56-'Owner Occupier'!$D$52)*B121</f>
        <v>379.88069127936876</v>
      </c>
      <c r="G121" s="4">
        <f t="shared" si="5"/>
        <v>36715.744707770762</v>
      </c>
    </row>
    <row r="122" spans="1:7">
      <c r="A122">
        <v>119</v>
      </c>
      <c r="B122" s="4">
        <f>-PPMT('Owner Occupier'!$D$41/12,'FHA Amotization'!$A122,360,'Owner Occupier'!$D$40,0,0)</f>
        <v>819.19204690116715</v>
      </c>
      <c r="C122" s="4">
        <f>-IPMT('Owner Occupier'!$D$41/12,'FHA Amotization'!$A122,360,'Owner Occupier'!$D$40,0,0)</f>
        <v>1108.1317801596526</v>
      </c>
      <c r="D122" s="4">
        <f t="shared" si="3"/>
        <v>1927.3238270608199</v>
      </c>
      <c r="E122" s="3">
        <f t="shared" si="4"/>
        <v>312065.07529229484</v>
      </c>
      <c r="F122" s="4">
        <f>('Owner Occupier'!$H$24-'Owner Occupier'!$D$52)/('Owner Occupier'!$D$56-'Owner Occupier'!$D$52)*B122</f>
        <v>381.22610206098318</v>
      </c>
      <c r="G122" s="4">
        <f t="shared" si="5"/>
        <v>37096.970809831742</v>
      </c>
    </row>
    <row r="123" spans="1:7">
      <c r="A123">
        <v>120</v>
      </c>
      <c r="B123" s="4">
        <f>-PPMT('Owner Occupier'!$D$41/12,'FHA Amotization'!$A123,360,'Owner Occupier'!$D$40,0,0)</f>
        <v>822.09335206727542</v>
      </c>
      <c r="C123" s="4">
        <f>-IPMT('Owner Occupier'!$D$41/12,'FHA Amotization'!$A123,360,'Owner Occupier'!$D$40,0,0)</f>
        <v>1105.230474993544</v>
      </c>
      <c r="D123" s="4">
        <f t="shared" si="3"/>
        <v>1927.3238270608194</v>
      </c>
      <c r="E123" s="3">
        <f t="shared" si="4"/>
        <v>311242.98194022756</v>
      </c>
      <c r="F123" s="4">
        <f>('Owner Occupier'!$H$24-'Owner Occupier'!$D$52)/('Owner Occupier'!$D$56-'Owner Occupier'!$D$52)*B123</f>
        <v>382.57627783911579</v>
      </c>
      <c r="G123" s="4">
        <f t="shared" si="5"/>
        <v>37479.547087670857</v>
      </c>
    </row>
    <row r="124" spans="1:7">
      <c r="A124">
        <v>121</v>
      </c>
      <c r="B124" s="4">
        <f>-PPMT('Owner Occupier'!$D$41/12,'FHA Amotization'!$A124,360,'Owner Occupier'!$D$40,0,0)</f>
        <v>825.00493268918035</v>
      </c>
      <c r="C124" s="4">
        <f>-IPMT('Owner Occupier'!$D$41/12,'FHA Amotization'!$A124,360,'Owner Occupier'!$D$40,0,0)</f>
        <v>1102.3188943716393</v>
      </c>
      <c r="D124" s="4">
        <f t="shared" si="3"/>
        <v>1927.3238270608197</v>
      </c>
      <c r="E124" s="3">
        <f t="shared" si="4"/>
        <v>310417.97700753837</v>
      </c>
      <c r="F124" s="4">
        <f>('Owner Occupier'!$H$24-'Owner Occupier'!$D$52)/('Owner Occupier'!$D$56-'Owner Occupier'!$D$52)*B124</f>
        <v>383.93123548979599</v>
      </c>
      <c r="G124" s="4">
        <f t="shared" si="5"/>
        <v>37863.478323160656</v>
      </c>
    </row>
    <row r="125" spans="1:7">
      <c r="A125">
        <v>122</v>
      </c>
      <c r="B125" s="4">
        <f>-PPMT('Owner Occupier'!$D$41/12,'FHA Amotization'!$A125,360,'Owner Occupier'!$D$40,0,0)</f>
        <v>827.92682515912122</v>
      </c>
      <c r="C125" s="4">
        <f>-IPMT('Owner Occupier'!$D$41/12,'FHA Amotization'!$A125,360,'Owner Occupier'!$D$40,0,0)</f>
        <v>1099.3970019016986</v>
      </c>
      <c r="D125" s="4">
        <f t="shared" si="3"/>
        <v>1927.3238270608199</v>
      </c>
      <c r="E125" s="3">
        <f t="shared" si="4"/>
        <v>309590.05018237926</v>
      </c>
      <c r="F125" s="4">
        <f>('Owner Occupier'!$H$24-'Owner Occupier'!$D$52)/('Owner Occupier'!$D$56-'Owner Occupier'!$D$52)*B125</f>
        <v>385.29099194882235</v>
      </c>
      <c r="G125" s="4">
        <f t="shared" si="5"/>
        <v>38248.769315109479</v>
      </c>
    </row>
    <row r="126" spans="1:7">
      <c r="A126">
        <v>123</v>
      </c>
      <c r="B126" s="4">
        <f>-PPMT('Owner Occupier'!$D$41/12,'FHA Amotization'!$A126,360,'Owner Occupier'!$D$40,0,0)</f>
        <v>830.85906599822647</v>
      </c>
      <c r="C126" s="4">
        <f>-IPMT('Owner Occupier'!$D$41/12,'FHA Amotization'!$A126,360,'Owner Occupier'!$D$40,0,0)</f>
        <v>1096.464761062593</v>
      </c>
      <c r="D126" s="4">
        <f t="shared" si="3"/>
        <v>1927.3238270608194</v>
      </c>
      <c r="E126" s="3">
        <f t="shared" si="4"/>
        <v>308759.19111638103</v>
      </c>
      <c r="F126" s="4">
        <f>('Owner Occupier'!$H$24-'Owner Occupier'!$D$52)/('Owner Occupier'!$D$56-'Owner Occupier'!$D$52)*B126</f>
        <v>386.65556421197448</v>
      </c>
      <c r="G126" s="4">
        <f t="shared" si="5"/>
        <v>38635.42487932145</v>
      </c>
    </row>
    <row r="127" spans="1:7">
      <c r="A127">
        <v>124</v>
      </c>
      <c r="B127" s="4">
        <f>-PPMT('Owner Occupier'!$D$41/12,'FHA Amotization'!$A127,360,'Owner Occupier'!$D$40,0,0)</f>
        <v>833.80169185697014</v>
      </c>
      <c r="C127" s="4">
        <f>-IPMT('Owner Occupier'!$D$41/12,'FHA Amotization'!$A127,360,'Owner Occupier'!$D$40,0,0)</f>
        <v>1093.5221352038493</v>
      </c>
      <c r="D127" s="4">
        <f t="shared" si="3"/>
        <v>1927.3238270608194</v>
      </c>
      <c r="E127" s="3">
        <f t="shared" si="4"/>
        <v>307925.38942452404</v>
      </c>
      <c r="F127" s="4">
        <f>('Owner Occupier'!$H$24-'Owner Occupier'!$D$52)/('Owner Occupier'!$D$56-'Owner Occupier'!$D$52)*B127</f>
        <v>388.02496933522519</v>
      </c>
      <c r="G127" s="4">
        <f t="shared" si="5"/>
        <v>39023.449848656674</v>
      </c>
    </row>
    <row r="128" spans="1:7">
      <c r="A128">
        <v>125</v>
      </c>
      <c r="B128" s="4">
        <f>-PPMT('Owner Occupier'!$D$41/12,'FHA Amotization'!$A128,360,'Owner Occupier'!$D$40,0,0)</f>
        <v>836.75473951563026</v>
      </c>
      <c r="C128" s="4">
        <f>-IPMT('Owner Occupier'!$D$41/12,'FHA Amotization'!$A128,360,'Owner Occupier'!$D$40,0,0)</f>
        <v>1090.5690875451894</v>
      </c>
      <c r="D128" s="4">
        <f t="shared" si="3"/>
        <v>1927.3238270608197</v>
      </c>
      <c r="E128" s="3">
        <f t="shared" si="4"/>
        <v>307088.63468500838</v>
      </c>
      <c r="F128" s="4">
        <f>('Owner Occupier'!$H$24-'Owner Occupier'!$D$52)/('Owner Occupier'!$D$56-'Owner Occupier'!$D$52)*B128</f>
        <v>389.39922443495414</v>
      </c>
      <c r="G128" s="4">
        <f t="shared" si="5"/>
        <v>39412.849073091631</v>
      </c>
    </row>
    <row r="129" spans="1:7">
      <c r="A129">
        <v>126</v>
      </c>
      <c r="B129" s="4">
        <f>-PPMT('Owner Occupier'!$D$41/12,'FHA Amotization'!$A129,360,'Owner Occupier'!$D$40,0,0)</f>
        <v>839.71824588474806</v>
      </c>
      <c r="C129" s="4">
        <f>-IPMT('Owner Occupier'!$D$41/12,'FHA Amotization'!$A129,360,'Owner Occupier'!$D$40,0,0)</f>
        <v>1087.6055811760714</v>
      </c>
      <c r="D129" s="4">
        <f t="shared" si="3"/>
        <v>1927.3238270608194</v>
      </c>
      <c r="E129" s="3">
        <f t="shared" si="4"/>
        <v>306248.91643912363</v>
      </c>
      <c r="F129" s="4">
        <f>('Owner Occupier'!$H$24-'Owner Occupier'!$D$52)/('Owner Occupier'!$D$56-'Owner Occupier'!$D$52)*B129</f>
        <v>390.77834668816121</v>
      </c>
      <c r="G129" s="4">
        <f t="shared" si="5"/>
        <v>39803.62741977979</v>
      </c>
    </row>
    <row r="130" spans="1:7">
      <c r="A130">
        <v>127</v>
      </c>
      <c r="B130" s="4">
        <f>-PPMT('Owner Occupier'!$D$41/12,'FHA Amotization'!$A130,360,'Owner Occupier'!$D$40,0,0)</f>
        <v>842.69224800558993</v>
      </c>
      <c r="C130" s="4">
        <f>-IPMT('Owner Occupier'!$D$41/12,'FHA Amotization'!$A130,360,'Owner Occupier'!$D$40,0,0)</f>
        <v>1084.6315790552296</v>
      </c>
      <c r="D130" s="4">
        <f t="shared" si="3"/>
        <v>1927.3238270608194</v>
      </c>
      <c r="E130" s="3">
        <f t="shared" si="4"/>
        <v>305406.22419111803</v>
      </c>
      <c r="F130" s="4">
        <f>('Owner Occupier'!$H$24-'Owner Occupier'!$D$52)/('Owner Occupier'!$D$56-'Owner Occupier'!$D$52)*B130</f>
        <v>392.16235333268185</v>
      </c>
      <c r="G130" s="4">
        <f t="shared" si="5"/>
        <v>40195.789773112469</v>
      </c>
    </row>
    <row r="131" spans="1:7">
      <c r="A131">
        <v>128</v>
      </c>
      <c r="B131" s="4">
        <f>-PPMT('Owner Occupier'!$D$41/12,'FHA Amotization'!$A131,360,'Owner Occupier'!$D$40,0,0)</f>
        <v>845.67678305060974</v>
      </c>
      <c r="C131" s="4">
        <f>-IPMT('Owner Occupier'!$D$41/12,'FHA Amotization'!$A131,360,'Owner Occupier'!$D$40,0,0)</f>
        <v>1081.6470440102103</v>
      </c>
      <c r="D131" s="4">
        <f t="shared" si="3"/>
        <v>1927.3238270608199</v>
      </c>
      <c r="E131" s="3">
        <f t="shared" si="4"/>
        <v>304560.54740806745</v>
      </c>
      <c r="F131" s="4">
        <f>('Owner Occupier'!$H$24-'Owner Occupier'!$D$52)/('Owner Occupier'!$D$56-'Owner Occupier'!$D$52)*B131</f>
        <v>393.55126166740172</v>
      </c>
      <c r="G131" s="4">
        <f t="shared" si="5"/>
        <v>40589.341034779871</v>
      </c>
    </row>
    <row r="132" spans="1:7">
      <c r="A132">
        <v>129</v>
      </c>
      <c r="B132" s="4">
        <f>-PPMT('Owner Occupier'!$D$41/12,'FHA Amotization'!$A132,360,'Owner Occupier'!$D$40,0,0)</f>
        <v>848.671888323914</v>
      </c>
      <c r="C132" s="4">
        <f>-IPMT('Owner Occupier'!$D$41/12,'FHA Amotization'!$A132,360,'Owner Occupier'!$D$40,0,0)</f>
        <v>1078.6519387369053</v>
      </c>
      <c r="D132" s="4">
        <f t="shared" si="3"/>
        <v>1927.3238270608194</v>
      </c>
      <c r="E132" s="3">
        <f t="shared" si="4"/>
        <v>303711.87551974354</v>
      </c>
      <c r="F132" s="4">
        <f>('Owner Occupier'!$H$24-'Owner Occupier'!$D$52)/('Owner Occupier'!$D$56-'Owner Occupier'!$D$52)*B132</f>
        <v>394.9450890524738</v>
      </c>
      <c r="G132" s="4">
        <f t="shared" si="5"/>
        <v>40984.286123832346</v>
      </c>
    </row>
    <row r="133" spans="1:7">
      <c r="A133">
        <v>130</v>
      </c>
      <c r="B133" s="4">
        <f>-PPMT('Owner Occupier'!$D$41/12,'FHA Amotization'!$A133,360,'Owner Occupier'!$D$40,0,0)</f>
        <v>851.67760126172777</v>
      </c>
      <c r="C133" s="4">
        <f>-IPMT('Owner Occupier'!$D$41/12,'FHA Amotization'!$A133,360,'Owner Occupier'!$D$40,0,0)</f>
        <v>1075.6462257990918</v>
      </c>
      <c r="D133" s="4">
        <f t="shared" ref="D133:D196" si="6">B133+C133</f>
        <v>1927.3238270608194</v>
      </c>
      <c r="E133" s="3">
        <f t="shared" si="4"/>
        <v>302860.19791848183</v>
      </c>
      <c r="F133" s="4">
        <f>('Owner Occupier'!$H$24-'Owner Occupier'!$D$52)/('Owner Occupier'!$D$56-'Owner Occupier'!$D$52)*B133</f>
        <v>396.34385290953458</v>
      </c>
      <c r="G133" s="4">
        <f t="shared" si="5"/>
        <v>41380.629976741882</v>
      </c>
    </row>
    <row r="134" spans="1:7">
      <c r="A134">
        <v>131</v>
      </c>
      <c r="B134" s="4">
        <f>-PPMT('Owner Occupier'!$D$41/12,'FHA Amotization'!$A134,360,'Owner Occupier'!$D$40,0,0)</f>
        <v>854.69395943286315</v>
      </c>
      <c r="C134" s="4">
        <f>-IPMT('Owner Occupier'!$D$41/12,'FHA Amotization'!$A134,360,'Owner Occupier'!$D$40,0,0)</f>
        <v>1072.6298676279566</v>
      </c>
      <c r="D134" s="4">
        <f t="shared" si="6"/>
        <v>1927.3238270608199</v>
      </c>
      <c r="E134" s="3">
        <f t="shared" ref="E134:E197" si="7">E133-B134</f>
        <v>302005.50395904895</v>
      </c>
      <c r="F134" s="4">
        <f>('Owner Occupier'!$H$24-'Owner Occupier'!$D$52)/('Owner Occupier'!$D$56-'Owner Occupier'!$D$52)*B134</f>
        <v>397.74757072192256</v>
      </c>
      <c r="G134" s="4">
        <f t="shared" ref="G134:G197" si="8">F134+G133</f>
        <v>41778.377547463802</v>
      </c>
    </row>
    <row r="135" spans="1:7">
      <c r="A135">
        <v>132</v>
      </c>
      <c r="B135" s="4">
        <f>-PPMT('Owner Occupier'!$D$41/12,'FHA Amotization'!$A135,360,'Owner Occupier'!$D$40,0,0)</f>
        <v>857.7210005391878</v>
      </c>
      <c r="C135" s="4">
        <f>-IPMT('Owner Occupier'!$D$41/12,'FHA Amotization'!$A135,360,'Owner Occupier'!$D$40,0,0)</f>
        <v>1069.6028265216316</v>
      </c>
      <c r="D135" s="4">
        <f t="shared" si="6"/>
        <v>1927.3238270608194</v>
      </c>
      <c r="E135" s="3">
        <f t="shared" si="7"/>
        <v>301147.78295850975</v>
      </c>
      <c r="F135" s="4">
        <f>('Owner Occupier'!$H$24-'Owner Occupier'!$D$52)/('Owner Occupier'!$D$56-'Owner Occupier'!$D$52)*B135</f>
        <v>399.15626003489604</v>
      </c>
      <c r="G135" s="4">
        <f t="shared" si="8"/>
        <v>42177.533807498701</v>
      </c>
    </row>
    <row r="136" spans="1:7">
      <c r="A136">
        <v>133</v>
      </c>
      <c r="B136" s="4">
        <f>-PPMT('Owner Occupier'!$D$41/12,'FHA Amotization'!$A136,360,'Owner Occupier'!$D$40,0,0)</f>
        <v>860.75876241609751</v>
      </c>
      <c r="C136" s="4">
        <f>-IPMT('Owner Occupier'!$D$41/12,'FHA Amotization'!$A136,360,'Owner Occupier'!$D$40,0,0)</f>
        <v>1066.565064644722</v>
      </c>
      <c r="D136" s="4">
        <f t="shared" si="6"/>
        <v>1927.3238270608194</v>
      </c>
      <c r="E136" s="3">
        <f t="shared" si="7"/>
        <v>300287.02419609367</v>
      </c>
      <c r="F136" s="4">
        <f>('Owner Occupier'!$H$24-'Owner Occupier'!$D$52)/('Owner Occupier'!$D$56-'Owner Occupier'!$D$52)*B136</f>
        <v>400.56993845585299</v>
      </c>
      <c r="G136" s="4">
        <f t="shared" si="8"/>
        <v>42578.103745954555</v>
      </c>
    </row>
    <row r="137" spans="1:7">
      <c r="A137">
        <v>134</v>
      </c>
      <c r="B137" s="4">
        <f>-PPMT('Owner Occupier'!$D$41/12,'FHA Amotization'!$A137,360,'Owner Occupier'!$D$40,0,0)</f>
        <v>863.80728303298781</v>
      </c>
      <c r="C137" s="4">
        <f>-IPMT('Owner Occupier'!$D$41/12,'FHA Amotization'!$A137,360,'Owner Occupier'!$D$40,0,0)</f>
        <v>1063.5165440278317</v>
      </c>
      <c r="D137" s="4">
        <f t="shared" si="6"/>
        <v>1927.3238270608194</v>
      </c>
      <c r="E137" s="3">
        <f t="shared" si="7"/>
        <v>299423.21691306069</v>
      </c>
      <c r="F137" s="4">
        <f>('Owner Occupier'!$H$24-'Owner Occupier'!$D$52)/('Owner Occupier'!$D$56-'Owner Occupier'!$D$52)*B137</f>
        <v>401.98862365455079</v>
      </c>
      <c r="G137" s="4">
        <f t="shared" si="8"/>
        <v>42980.092369609105</v>
      </c>
    </row>
    <row r="138" spans="1:7">
      <c r="A138">
        <v>135</v>
      </c>
      <c r="B138" s="4">
        <f>-PPMT('Owner Occupier'!$D$41/12,'FHA Amotization'!$A138,360,'Owner Occupier'!$D$40,0,0)</f>
        <v>866.86660049372972</v>
      </c>
      <c r="C138" s="4">
        <f>-IPMT('Owner Occupier'!$D$41/12,'FHA Amotization'!$A138,360,'Owner Occupier'!$D$40,0,0)</f>
        <v>1060.4572265670899</v>
      </c>
      <c r="D138" s="4">
        <f t="shared" si="6"/>
        <v>1927.3238270608197</v>
      </c>
      <c r="E138" s="3">
        <f t="shared" si="7"/>
        <v>298556.35031256697</v>
      </c>
      <c r="F138" s="4">
        <f>('Owner Occupier'!$H$24-'Owner Occupier'!$D$52)/('Owner Occupier'!$D$56-'Owner Occupier'!$D$52)*B138</f>
        <v>403.41233336332732</v>
      </c>
      <c r="G138" s="4">
        <f t="shared" si="8"/>
        <v>43383.50470297243</v>
      </c>
    </row>
    <row r="139" spans="1:7">
      <c r="A139">
        <v>136</v>
      </c>
      <c r="B139" s="4">
        <f>-PPMT('Owner Occupier'!$D$41/12,'FHA Amotization'!$A139,360,'Owner Occupier'!$D$40,0,0)</f>
        <v>869.93675303714485</v>
      </c>
      <c r="C139" s="4">
        <f>-IPMT('Owner Occupier'!$D$41/12,'FHA Amotization'!$A139,360,'Owner Occupier'!$D$40,0,0)</f>
        <v>1057.3870740236746</v>
      </c>
      <c r="D139" s="4">
        <f t="shared" si="6"/>
        <v>1927.3238270608194</v>
      </c>
      <c r="E139" s="3">
        <f t="shared" si="7"/>
        <v>297686.41355952981</v>
      </c>
      <c r="F139" s="4">
        <f>('Owner Occupier'!$H$24-'Owner Occupier'!$D$52)/('Owner Occupier'!$D$56-'Owner Occupier'!$D$52)*B139</f>
        <v>404.84108537732237</v>
      </c>
      <c r="G139" s="4">
        <f t="shared" si="8"/>
        <v>43788.345788349754</v>
      </c>
    </row>
    <row r="140" spans="1:7">
      <c r="A140">
        <v>137</v>
      </c>
      <c r="B140" s="4">
        <f>-PPMT('Owner Occupier'!$D$41/12,'FHA Amotization'!$A140,360,'Owner Occupier'!$D$40,0,0)</f>
        <v>873.01777903748484</v>
      </c>
      <c r="C140" s="4">
        <f>-IPMT('Owner Occupier'!$D$41/12,'FHA Amotization'!$A140,360,'Owner Occupier'!$D$40,0,0)</f>
        <v>1054.3060480233348</v>
      </c>
      <c r="D140" s="4">
        <f t="shared" si="6"/>
        <v>1927.3238270608197</v>
      </c>
      <c r="E140" s="3">
        <f t="shared" si="7"/>
        <v>296813.39578049234</v>
      </c>
      <c r="F140" s="4">
        <f>('Owner Occupier'!$H$24-'Owner Occupier'!$D$52)/('Owner Occupier'!$D$56-'Owner Occupier'!$D$52)*B140</f>
        <v>406.27489755470043</v>
      </c>
      <c r="G140" s="4">
        <f t="shared" si="8"/>
        <v>44194.620685904454</v>
      </c>
    </row>
    <row r="141" spans="1:7">
      <c r="A141">
        <v>138</v>
      </c>
      <c r="B141" s="4">
        <f>-PPMT('Owner Occupier'!$D$41/12,'FHA Amotization'!$A141,360,'Owner Occupier'!$D$40,0,0)</f>
        <v>876.10971700490916</v>
      </c>
      <c r="C141" s="4">
        <f>-IPMT('Owner Occupier'!$D$41/12,'FHA Amotization'!$A141,360,'Owner Occupier'!$D$40,0,0)</f>
        <v>1051.2141100559104</v>
      </c>
      <c r="D141" s="4">
        <f t="shared" si="6"/>
        <v>1927.3238270608194</v>
      </c>
      <c r="E141" s="3">
        <f t="shared" si="7"/>
        <v>295937.28606348741</v>
      </c>
      <c r="F141" s="4">
        <f>('Owner Occupier'!$H$24-'Owner Occupier'!$D$52)/('Owner Occupier'!$D$56-'Owner Occupier'!$D$52)*B141</f>
        <v>407.71378781687332</v>
      </c>
      <c r="G141" s="4">
        <f t="shared" si="8"/>
        <v>44602.334473721327</v>
      </c>
    </row>
    <row r="142" spans="1:7">
      <c r="A142">
        <v>139</v>
      </c>
      <c r="B142" s="4">
        <f>-PPMT('Owner Occupier'!$D$41/12,'FHA Amotization'!$A142,360,'Owner Occupier'!$D$40,0,0)</f>
        <v>879.21260558596816</v>
      </c>
      <c r="C142" s="4">
        <f>-IPMT('Owner Occupier'!$D$41/12,'FHA Amotization'!$A142,360,'Owner Occupier'!$D$40,0,0)</f>
        <v>1048.1112214748512</v>
      </c>
      <c r="D142" s="4">
        <f t="shared" si="6"/>
        <v>1927.3238270608194</v>
      </c>
      <c r="E142" s="3">
        <f t="shared" si="7"/>
        <v>295058.07345790142</v>
      </c>
      <c r="F142" s="4">
        <f>('Owner Occupier'!$H$24-'Owner Occupier'!$D$52)/('Owner Occupier'!$D$56-'Owner Occupier'!$D$52)*B142</f>
        <v>409.15777414872468</v>
      </c>
      <c r="G142" s="4">
        <f t="shared" si="8"/>
        <v>45011.492247870054</v>
      </c>
    </row>
    <row r="143" spans="1:7">
      <c r="A143">
        <v>140</v>
      </c>
      <c r="B143" s="4">
        <f>-PPMT('Owner Occupier'!$D$41/12,'FHA Amotization'!$A143,360,'Owner Occupier'!$D$40,0,0)</f>
        <v>882.32648356408515</v>
      </c>
      <c r="C143" s="4">
        <f>-IPMT('Owner Occupier'!$D$41/12,'FHA Amotization'!$A143,360,'Owner Occupier'!$D$40,0,0)</f>
        <v>1044.9973434967342</v>
      </c>
      <c r="D143" s="4">
        <f t="shared" si="6"/>
        <v>1927.3238270608194</v>
      </c>
      <c r="E143" s="3">
        <f t="shared" si="7"/>
        <v>294175.74697433732</v>
      </c>
      <c r="F143" s="4">
        <f>('Owner Occupier'!$H$24-'Owner Occupier'!$D$52)/('Owner Occupier'!$D$56-'Owner Occupier'!$D$52)*B143</f>
        <v>410.60687459883479</v>
      </c>
      <c r="G143" s="4">
        <f t="shared" si="8"/>
        <v>45422.099122468891</v>
      </c>
    </row>
    <row r="144" spans="1:7">
      <c r="A144">
        <v>141</v>
      </c>
      <c r="B144" s="4">
        <f>-PPMT('Owner Occupier'!$D$41/12,'FHA Amotization'!$A144,360,'Owner Occupier'!$D$40,0,0)</f>
        <v>885.45138986004144</v>
      </c>
      <c r="C144" s="4">
        <f>-IPMT('Owner Occupier'!$D$41/12,'FHA Amotization'!$A144,360,'Owner Occupier'!$D$40,0,0)</f>
        <v>1041.872437200778</v>
      </c>
      <c r="D144" s="4">
        <f t="shared" si="6"/>
        <v>1927.3238270608194</v>
      </c>
      <c r="E144" s="3">
        <f t="shared" si="7"/>
        <v>293290.29558447731</v>
      </c>
      <c r="F144" s="4">
        <f>('Owner Occupier'!$H$24-'Owner Occupier'!$D$52)/('Owner Occupier'!$D$56-'Owner Occupier'!$D$52)*B144</f>
        <v>412.06110727970571</v>
      </c>
      <c r="G144" s="4">
        <f t="shared" si="8"/>
        <v>45834.160229748595</v>
      </c>
    </row>
    <row r="145" spans="1:7">
      <c r="A145">
        <v>142</v>
      </c>
      <c r="B145" s="4">
        <f>-PPMT('Owner Occupier'!$D$41/12,'FHA Amotization'!$A145,360,'Owner Occupier'!$D$40,0,0)</f>
        <v>888.58736353246229</v>
      </c>
      <c r="C145" s="4">
        <f>-IPMT('Owner Occupier'!$D$41/12,'FHA Amotization'!$A145,360,'Owner Occupier'!$D$40,0,0)</f>
        <v>1038.7364635283573</v>
      </c>
      <c r="D145" s="4">
        <f t="shared" si="6"/>
        <v>1927.3238270608194</v>
      </c>
      <c r="E145" s="3">
        <f t="shared" si="7"/>
        <v>292401.70822094486</v>
      </c>
      <c r="F145" s="4">
        <f>('Owner Occupier'!$H$24-'Owner Occupier'!$D$52)/('Owner Occupier'!$D$56-'Owner Occupier'!$D$52)*B145</f>
        <v>413.52049036798797</v>
      </c>
      <c r="G145" s="4">
        <f t="shared" si="8"/>
        <v>46247.680720116587</v>
      </c>
    </row>
    <row r="146" spans="1:7">
      <c r="A146">
        <v>143</v>
      </c>
      <c r="B146" s="4">
        <f>-PPMT('Owner Occupier'!$D$41/12,'FHA Amotization'!$A146,360,'Owner Occupier'!$D$40,0,0)</f>
        <v>891.73444377830651</v>
      </c>
      <c r="C146" s="4">
        <f>-IPMT('Owner Occupier'!$D$41/12,'FHA Amotization'!$A146,360,'Owner Occupier'!$D$40,0,0)</f>
        <v>1035.5893832825134</v>
      </c>
      <c r="D146" s="4">
        <f t="shared" si="6"/>
        <v>1927.3238270608199</v>
      </c>
      <c r="E146" s="3">
        <f t="shared" si="7"/>
        <v>291509.97377716657</v>
      </c>
      <c r="F146" s="4">
        <f>('Owner Occupier'!$H$24-'Owner Occupier'!$D$52)/('Owner Occupier'!$D$56-'Owner Occupier'!$D$52)*B146</f>
        <v>414.98504210470793</v>
      </c>
      <c r="G146" s="4">
        <f t="shared" si="8"/>
        <v>46662.665762221295</v>
      </c>
    </row>
    <row r="147" spans="1:7">
      <c r="A147">
        <v>144</v>
      </c>
      <c r="B147" s="4">
        <f>-PPMT('Owner Occupier'!$D$41/12,'FHA Amotization'!$A147,360,'Owner Occupier'!$D$40,0,0)</f>
        <v>894.89266993335468</v>
      </c>
      <c r="C147" s="4">
        <f>-IPMT('Owner Occupier'!$D$41/12,'FHA Amotization'!$A147,360,'Owner Occupier'!$D$40,0,0)</f>
        <v>1032.431157127465</v>
      </c>
      <c r="D147" s="4">
        <f t="shared" si="6"/>
        <v>1927.3238270608197</v>
      </c>
      <c r="E147" s="3">
        <f t="shared" si="7"/>
        <v>290615.08110723319</v>
      </c>
      <c r="F147" s="4">
        <f>('Owner Occupier'!$H$24-'Owner Occupier'!$D$52)/('Owner Occupier'!$D$56-'Owner Occupier'!$D$52)*B147</f>
        <v>416.45478079549548</v>
      </c>
      <c r="G147" s="4">
        <f t="shared" si="8"/>
        <v>47079.12054301679</v>
      </c>
    </row>
    <row r="148" spans="1:7">
      <c r="A148">
        <v>145</v>
      </c>
      <c r="B148" s="4">
        <f>-PPMT('Owner Occupier'!$D$41/12,'FHA Amotization'!$A148,360,'Owner Occupier'!$D$40,0,0)</f>
        <v>898.06208147270195</v>
      </c>
      <c r="C148" s="4">
        <f>-IPMT('Owner Occupier'!$D$41/12,'FHA Amotization'!$A148,360,'Owner Occupier'!$D$40,0,0)</f>
        <v>1029.2617455881175</v>
      </c>
      <c r="D148" s="4">
        <f t="shared" si="6"/>
        <v>1927.3238270608194</v>
      </c>
      <c r="E148" s="3">
        <f t="shared" si="7"/>
        <v>289717.01902576047</v>
      </c>
      <c r="F148" s="4">
        <f>('Owner Occupier'!$H$24-'Owner Occupier'!$D$52)/('Owner Occupier'!$D$56-'Owner Occupier'!$D$52)*B148</f>
        <v>417.92972481081284</v>
      </c>
      <c r="G148" s="4">
        <f t="shared" si="8"/>
        <v>47497.050267827603</v>
      </c>
    </row>
    <row r="149" spans="1:7">
      <c r="A149">
        <v>146</v>
      </c>
      <c r="B149" s="4">
        <f>-PPMT('Owner Occupier'!$D$41/12,'FHA Amotization'!$A149,360,'Owner Occupier'!$D$40,0,0)</f>
        <v>901.2427180112511</v>
      </c>
      <c r="C149" s="4">
        <f>-IPMT('Owner Occupier'!$D$41/12,'FHA Amotization'!$A149,360,'Owner Occupier'!$D$40,0,0)</f>
        <v>1026.0811090495686</v>
      </c>
      <c r="D149" s="4">
        <f t="shared" si="6"/>
        <v>1927.3238270608197</v>
      </c>
      <c r="E149" s="3">
        <f t="shared" si="7"/>
        <v>288815.77630774921</v>
      </c>
      <c r="F149" s="4">
        <f>('Owner Occupier'!$H$24-'Owner Occupier'!$D$52)/('Owner Occupier'!$D$56-'Owner Occupier'!$D$52)*B149</f>
        <v>419.40989258618447</v>
      </c>
      <c r="G149" s="4">
        <f t="shared" si="8"/>
        <v>47916.460160413786</v>
      </c>
    </row>
    <row r="150" spans="1:7">
      <c r="A150">
        <v>147</v>
      </c>
      <c r="B150" s="4">
        <f>-PPMT('Owner Occupier'!$D$41/12,'FHA Amotization'!$A150,360,'Owner Occupier'!$D$40,0,0)</f>
        <v>904.43461930420767</v>
      </c>
      <c r="C150" s="4">
        <f>-IPMT('Owner Occupier'!$D$41/12,'FHA Amotization'!$A150,360,'Owner Occupier'!$D$40,0,0)</f>
        <v>1022.8892077566121</v>
      </c>
      <c r="D150" s="4">
        <f t="shared" si="6"/>
        <v>1927.3238270608199</v>
      </c>
      <c r="E150" s="3">
        <f t="shared" si="7"/>
        <v>287911.34168844501</v>
      </c>
      <c r="F150" s="4">
        <f>('Owner Occupier'!$H$24-'Owner Occupier'!$D$52)/('Owner Occupier'!$D$56-'Owner Occupier'!$D$52)*B150</f>
        <v>420.89530262242721</v>
      </c>
      <c r="G150" s="4">
        <f t="shared" si="8"/>
        <v>48337.355463036212</v>
      </c>
    </row>
    <row r="151" spans="1:7">
      <c r="A151">
        <v>148</v>
      </c>
      <c r="B151" s="4">
        <f>-PPMT('Owner Occupier'!$D$41/12,'FHA Amotization'!$A151,360,'Owner Occupier'!$D$40,0,0)</f>
        <v>907.63782524757676</v>
      </c>
      <c r="C151" s="4">
        <f>-IPMT('Owner Occupier'!$D$41/12,'FHA Amotization'!$A151,360,'Owner Occupier'!$D$40,0,0)</f>
        <v>1019.6860018132428</v>
      </c>
      <c r="D151" s="4">
        <f t="shared" si="6"/>
        <v>1927.3238270608194</v>
      </c>
      <c r="E151" s="3">
        <f t="shared" si="7"/>
        <v>287003.70386319741</v>
      </c>
      <c r="F151" s="4">
        <f>('Owner Occupier'!$H$24-'Owner Occupier'!$D$52)/('Owner Occupier'!$D$56-'Owner Occupier'!$D$52)*B151</f>
        <v>422.38597348588166</v>
      </c>
      <c r="G151" s="4">
        <f t="shared" si="8"/>
        <v>48759.741436522098</v>
      </c>
    </row>
    <row r="152" spans="1:7">
      <c r="A152">
        <v>149</v>
      </c>
      <c r="B152" s="4">
        <f>-PPMT('Owner Occupier'!$D$41/12,'FHA Amotization'!$A152,360,'Owner Occupier'!$D$40,0,0)</f>
        <v>910.85237587866186</v>
      </c>
      <c r="C152" s="4">
        <f>-IPMT('Owner Occupier'!$D$41/12,'FHA Amotization'!$A152,360,'Owner Occupier'!$D$40,0,0)</f>
        <v>1016.4714511821578</v>
      </c>
      <c r="D152" s="4">
        <f t="shared" si="6"/>
        <v>1927.3238270608197</v>
      </c>
      <c r="E152" s="3">
        <f t="shared" si="7"/>
        <v>286092.85148731875</v>
      </c>
      <c r="F152" s="4">
        <f>('Owner Occupier'!$H$24-'Owner Occupier'!$D$52)/('Owner Occupier'!$D$56-'Owner Occupier'!$D$52)*B152</f>
        <v>423.8819238086441</v>
      </c>
      <c r="G152" s="4">
        <f t="shared" si="8"/>
        <v>49183.623360330741</v>
      </c>
    </row>
    <row r="153" spans="1:7">
      <c r="A153">
        <v>150</v>
      </c>
      <c r="B153" s="4">
        <f>-PPMT('Owner Occupier'!$D$41/12,'FHA Amotization'!$A153,360,'Owner Occupier'!$D$40,0,0)</f>
        <v>914.07831137656547</v>
      </c>
      <c r="C153" s="4">
        <f>-IPMT('Owner Occupier'!$D$41/12,'FHA Amotization'!$A153,360,'Owner Occupier'!$D$40,0,0)</f>
        <v>1013.245515684254</v>
      </c>
      <c r="D153" s="4">
        <f t="shared" si="6"/>
        <v>1927.3238270608194</v>
      </c>
      <c r="E153" s="3">
        <f t="shared" si="7"/>
        <v>285178.77317594219</v>
      </c>
      <c r="F153" s="4">
        <f>('Owner Occupier'!$H$24-'Owner Occupier'!$D$52)/('Owner Occupier'!$D$56-'Owner Occupier'!$D$52)*B153</f>
        <v>425.38317228879976</v>
      </c>
      <c r="G153" s="4">
        <f t="shared" si="8"/>
        <v>49609.00653261954</v>
      </c>
    </row>
    <row r="154" spans="1:7">
      <c r="A154">
        <v>151</v>
      </c>
      <c r="B154" s="4">
        <f>-PPMT('Owner Occupier'!$D$41/12,'FHA Amotization'!$A154,360,'Owner Occupier'!$D$40,0,0)</f>
        <v>917.31567206269096</v>
      </c>
      <c r="C154" s="4">
        <f>-IPMT('Owner Occupier'!$D$41/12,'FHA Amotization'!$A154,360,'Owner Occupier'!$D$40,0,0)</f>
        <v>1010.0081549981287</v>
      </c>
      <c r="D154" s="4">
        <f t="shared" si="6"/>
        <v>1927.3238270608197</v>
      </c>
      <c r="E154" s="3">
        <f t="shared" si="7"/>
        <v>284261.4575038795</v>
      </c>
      <c r="F154" s="4">
        <f>('Owner Occupier'!$H$24-'Owner Occupier'!$D$52)/('Owner Occupier'!$D$56-'Owner Occupier'!$D$52)*B154</f>
        <v>426.88973769065598</v>
      </c>
      <c r="G154" s="4">
        <f t="shared" si="8"/>
        <v>50035.896270310193</v>
      </c>
    </row>
    <row r="155" spans="1:7">
      <c r="A155">
        <v>152</v>
      </c>
      <c r="B155" s="4">
        <f>-PPMT('Owner Occupier'!$D$41/12,'FHA Amotization'!$A155,360,'Owner Occupier'!$D$40,0,0)</f>
        <v>920.56449840124617</v>
      </c>
      <c r="C155" s="4">
        <f>-IPMT('Owner Occupier'!$D$41/12,'FHA Amotization'!$A155,360,'Owner Occupier'!$D$40,0,0)</f>
        <v>1006.7593286595735</v>
      </c>
      <c r="D155" s="4">
        <f t="shared" si="6"/>
        <v>1927.3238270608197</v>
      </c>
      <c r="E155" s="3">
        <f t="shared" si="7"/>
        <v>283340.89300547825</v>
      </c>
      <c r="F155" s="4">
        <f>('Owner Occupier'!$H$24-'Owner Occupier'!$D$52)/('Owner Occupier'!$D$56-'Owner Occupier'!$D$52)*B155</f>
        <v>428.40163884497696</v>
      </c>
      <c r="G155" s="4">
        <f t="shared" si="8"/>
        <v>50464.297909155168</v>
      </c>
    </row>
    <row r="156" spans="1:7">
      <c r="A156">
        <v>153</v>
      </c>
      <c r="B156" s="4">
        <f>-PPMT('Owner Occupier'!$D$41/12,'FHA Amotization'!$A156,360,'Owner Occupier'!$D$40,0,0)</f>
        <v>923.82483099975059</v>
      </c>
      <c r="C156" s="4">
        <f>-IPMT('Owner Occupier'!$D$41/12,'FHA Amotization'!$A156,360,'Owner Occupier'!$D$40,0,0)</f>
        <v>1003.4989960610689</v>
      </c>
      <c r="D156" s="4">
        <f t="shared" si="6"/>
        <v>1927.3238270608194</v>
      </c>
      <c r="E156" s="3">
        <f t="shared" si="7"/>
        <v>282417.06817447848</v>
      </c>
      <c r="F156" s="4">
        <f>('Owner Occupier'!$H$24-'Owner Occupier'!$D$52)/('Owner Occupier'!$D$56-'Owner Occupier'!$D$52)*B156</f>
        <v>429.91889464921962</v>
      </c>
      <c r="G156" s="4">
        <f t="shared" si="8"/>
        <v>50894.216803804389</v>
      </c>
    </row>
    <row r="157" spans="1:7">
      <c r="A157">
        <v>154</v>
      </c>
      <c r="B157" s="4">
        <f>-PPMT('Owner Occupier'!$D$41/12,'FHA Amotization'!$A157,360,'Owner Occupier'!$D$40,0,0)</f>
        <v>927.09671060954133</v>
      </c>
      <c r="C157" s="4">
        <f>-IPMT('Owner Occupier'!$D$41/12,'FHA Amotization'!$A157,360,'Owner Occupier'!$D$40,0,0)</f>
        <v>1000.2271164512782</v>
      </c>
      <c r="D157" s="4">
        <f t="shared" si="6"/>
        <v>1927.3238270608194</v>
      </c>
      <c r="E157" s="3">
        <f t="shared" si="7"/>
        <v>281489.97146386892</v>
      </c>
      <c r="F157" s="4">
        <f>('Owner Occupier'!$H$24-'Owner Occupier'!$D$52)/('Owner Occupier'!$D$56-'Owner Occupier'!$D$52)*B157</f>
        <v>431.44152406776891</v>
      </c>
      <c r="G157" s="4">
        <f t="shared" si="8"/>
        <v>51325.658327872159</v>
      </c>
    </row>
    <row r="158" spans="1:7">
      <c r="A158">
        <v>155</v>
      </c>
      <c r="B158" s="4">
        <f>-PPMT('Owner Occupier'!$D$41/12,'FHA Amotization'!$A158,360,'Owner Occupier'!$D$40,0,0)</f>
        <v>930.38017812628357</v>
      </c>
      <c r="C158" s="4">
        <f>-IPMT('Owner Occupier'!$D$41/12,'FHA Amotization'!$A158,360,'Owner Occupier'!$D$40,0,0)</f>
        <v>996.94364893453599</v>
      </c>
      <c r="D158" s="4">
        <f t="shared" si="6"/>
        <v>1927.3238270608194</v>
      </c>
      <c r="E158" s="3">
        <f t="shared" si="7"/>
        <v>280559.59128574264</v>
      </c>
      <c r="F158" s="4">
        <f>('Owner Occupier'!$H$24-'Owner Occupier'!$D$52)/('Owner Occupier'!$D$56-'Owner Occupier'!$D$52)*B158</f>
        <v>432.96954613217565</v>
      </c>
      <c r="G158" s="4">
        <f t="shared" si="8"/>
        <v>51758.627874004334</v>
      </c>
    </row>
    <row r="159" spans="1:7">
      <c r="A159">
        <v>156</v>
      </c>
      <c r="B159" s="4">
        <f>-PPMT('Owner Occupier'!$D$41/12,'FHA Amotization'!$A159,360,'Owner Occupier'!$D$40,0,0)</f>
        <v>933.67527459048074</v>
      </c>
      <c r="C159" s="4">
        <f>-IPMT('Owner Occupier'!$D$41/12,'FHA Amotization'!$A159,360,'Owner Occupier'!$D$40,0,0)</f>
        <v>993.64855247033859</v>
      </c>
      <c r="D159" s="4">
        <f t="shared" si="6"/>
        <v>1927.3238270608194</v>
      </c>
      <c r="E159" s="3">
        <f t="shared" si="7"/>
        <v>279625.91601115215</v>
      </c>
      <c r="F159" s="4">
        <f>('Owner Occupier'!$H$24-'Owner Occupier'!$D$52)/('Owner Occupier'!$D$56-'Owner Occupier'!$D$52)*B159</f>
        <v>434.50297994139373</v>
      </c>
      <c r="G159" s="4">
        <f t="shared" si="8"/>
        <v>52193.130853945731</v>
      </c>
    </row>
    <row r="160" spans="1:7">
      <c r="A160">
        <v>157</v>
      </c>
      <c r="B160" s="4">
        <f>-PPMT('Owner Occupier'!$D$41/12,'FHA Amotization'!$A160,360,'Owner Occupier'!$D$40,0,0)</f>
        <v>936.98204118798878</v>
      </c>
      <c r="C160" s="4">
        <f>-IPMT('Owner Occupier'!$D$41/12,'FHA Amotization'!$A160,360,'Owner Occupier'!$D$40,0,0)</f>
        <v>990.34178587283077</v>
      </c>
      <c r="D160" s="4">
        <f t="shared" si="6"/>
        <v>1927.3238270608194</v>
      </c>
      <c r="E160" s="3">
        <f t="shared" si="7"/>
        <v>278688.93396996416</v>
      </c>
      <c r="F160" s="4">
        <f>('Owner Occupier'!$H$24-'Owner Occupier'!$D$52)/('Owner Occupier'!$D$56-'Owner Occupier'!$D$52)*B160</f>
        <v>436.04184466201951</v>
      </c>
      <c r="G160" s="4">
        <f t="shared" si="8"/>
        <v>52629.172698607748</v>
      </c>
    </row>
    <row r="161" spans="1:7">
      <c r="A161">
        <v>158</v>
      </c>
      <c r="B161" s="4">
        <f>-PPMT('Owner Occupier'!$D$41/12,'FHA Amotization'!$A161,360,'Owner Occupier'!$D$40,0,0)</f>
        <v>940.30051925052965</v>
      </c>
      <c r="C161" s="4">
        <f>-IPMT('Owner Occupier'!$D$41/12,'FHA Amotization'!$A161,360,'Owner Occupier'!$D$40,0,0)</f>
        <v>987.02330781029002</v>
      </c>
      <c r="D161" s="4">
        <f t="shared" si="6"/>
        <v>1927.3238270608197</v>
      </c>
      <c r="E161" s="3">
        <f t="shared" si="7"/>
        <v>277748.63345071365</v>
      </c>
      <c r="F161" s="4">
        <f>('Owner Occupier'!$H$24-'Owner Occupier'!$D$52)/('Owner Occupier'!$D$56-'Owner Occupier'!$D$52)*B161</f>
        <v>437.58615952853091</v>
      </c>
      <c r="G161" s="4">
        <f t="shared" si="8"/>
        <v>53066.75885813628</v>
      </c>
    </row>
    <row r="162" spans="1:7">
      <c r="A162">
        <v>159</v>
      </c>
      <c r="B162" s="4">
        <f>-PPMT('Owner Occupier'!$D$41/12,'FHA Amotization'!$A162,360,'Owner Occupier'!$D$40,0,0)</f>
        <v>943.63075025620844</v>
      </c>
      <c r="C162" s="4">
        <f>-IPMT('Owner Occupier'!$D$41/12,'FHA Amotization'!$A162,360,'Owner Occupier'!$D$40,0,0)</f>
        <v>983.69307680461111</v>
      </c>
      <c r="D162" s="4">
        <f t="shared" si="6"/>
        <v>1927.3238270608194</v>
      </c>
      <c r="E162" s="3">
        <f t="shared" si="7"/>
        <v>276805.00270045747</v>
      </c>
      <c r="F162" s="4">
        <f>('Owner Occupier'!$H$24-'Owner Occupier'!$D$52)/('Owner Occupier'!$D$56-'Owner Occupier'!$D$52)*B162</f>
        <v>439.13594384352768</v>
      </c>
      <c r="G162" s="4">
        <f t="shared" si="8"/>
        <v>53505.894801979804</v>
      </c>
    </row>
    <row r="163" spans="1:7">
      <c r="A163">
        <v>160</v>
      </c>
      <c r="B163" s="4">
        <f>-PPMT('Owner Occupier'!$D$41/12,'FHA Amotization'!$A163,360,'Owner Occupier'!$D$40,0,0)</f>
        <v>946.97277583003267</v>
      </c>
      <c r="C163" s="4">
        <f>-IPMT('Owner Occupier'!$D$41/12,'FHA Amotization'!$A163,360,'Owner Occupier'!$D$40,0,0)</f>
        <v>980.35105123078688</v>
      </c>
      <c r="D163" s="4">
        <f t="shared" si="6"/>
        <v>1927.3238270608194</v>
      </c>
      <c r="E163" s="3">
        <f t="shared" si="7"/>
        <v>275858.02992462745</v>
      </c>
      <c r="F163" s="4">
        <f>('Owner Occupier'!$H$24-'Owner Occupier'!$D$52)/('Owner Occupier'!$D$56-'Owner Occupier'!$D$52)*B163</f>
        <v>440.69121697797357</v>
      </c>
      <c r="G163" s="4">
        <f t="shared" si="8"/>
        <v>53946.58601895778</v>
      </c>
    </row>
    <row r="164" spans="1:7">
      <c r="A164">
        <v>161</v>
      </c>
      <c r="B164" s="4">
        <f>-PPMT('Owner Occupier'!$D$41/12,'FHA Amotization'!$A164,360,'Owner Occupier'!$D$40,0,0)</f>
        <v>950.32663774443063</v>
      </c>
      <c r="C164" s="4">
        <f>-IPMT('Owner Occupier'!$D$41/12,'FHA Amotization'!$A164,360,'Owner Occupier'!$D$40,0,0)</f>
        <v>976.99718931638915</v>
      </c>
      <c r="D164" s="4">
        <f t="shared" si="6"/>
        <v>1927.3238270608199</v>
      </c>
      <c r="E164" s="3">
        <f t="shared" si="7"/>
        <v>274907.70328688301</v>
      </c>
      <c r="F164" s="4">
        <f>('Owner Occupier'!$H$24-'Owner Occupier'!$D$52)/('Owner Occupier'!$D$56-'Owner Occupier'!$D$52)*B164</f>
        <v>442.2519983714372</v>
      </c>
      <c r="G164" s="4">
        <f t="shared" si="8"/>
        <v>54388.838017329217</v>
      </c>
    </row>
    <row r="165" spans="1:7">
      <c r="A165">
        <v>162</v>
      </c>
      <c r="B165" s="4">
        <f>-PPMT('Owner Occupier'!$D$41/12,'FHA Amotization'!$A165,360,'Owner Occupier'!$D$40,0,0)</f>
        <v>953.69237791977548</v>
      </c>
      <c r="C165" s="4">
        <f>-IPMT('Owner Occupier'!$D$41/12,'FHA Amotization'!$A165,360,'Owner Occupier'!$D$40,0,0)</f>
        <v>973.63144914104407</v>
      </c>
      <c r="D165" s="4">
        <f t="shared" si="6"/>
        <v>1927.3238270608194</v>
      </c>
      <c r="E165" s="3">
        <f t="shared" si="7"/>
        <v>273954.01090896322</v>
      </c>
      <c r="F165" s="4">
        <f>('Owner Occupier'!$H$24-'Owner Occupier'!$D$52)/('Owner Occupier'!$D$56-'Owner Occupier'!$D$52)*B165</f>
        <v>443.81830753233606</v>
      </c>
      <c r="G165" s="4">
        <f t="shared" si="8"/>
        <v>54832.656324861557</v>
      </c>
    </row>
    <row r="166" spans="1:7">
      <c r="A166">
        <v>163</v>
      </c>
      <c r="B166" s="4">
        <f>-PPMT('Owner Occupier'!$D$41/12,'FHA Amotization'!$A166,360,'Owner Occupier'!$D$40,0,0)</f>
        <v>957.07003842490792</v>
      </c>
      <c r="C166" s="4">
        <f>-IPMT('Owner Occupier'!$D$41/12,'FHA Amotization'!$A166,360,'Owner Occupier'!$D$40,0,0)</f>
        <v>970.25378863591152</v>
      </c>
      <c r="D166" s="4">
        <f t="shared" si="6"/>
        <v>1927.3238270608194</v>
      </c>
      <c r="E166" s="3">
        <f t="shared" si="7"/>
        <v>272996.9408705383</v>
      </c>
      <c r="F166" s="4">
        <f>('Owner Occupier'!$H$24-'Owner Occupier'!$D$52)/('Owner Occupier'!$D$56-'Owner Occupier'!$D$52)*B166</f>
        <v>445.39016403817971</v>
      </c>
      <c r="G166" s="4">
        <f t="shared" si="8"/>
        <v>55278.046488899738</v>
      </c>
    </row>
    <row r="167" spans="1:7">
      <c r="A167">
        <v>164</v>
      </c>
      <c r="B167" s="4">
        <f>-PPMT('Owner Occupier'!$D$41/12,'FHA Amotization'!$A167,360,'Owner Occupier'!$D$40,0,0)</f>
        <v>960.45966147766285</v>
      </c>
      <c r="C167" s="4">
        <f>-IPMT('Owner Occupier'!$D$41/12,'FHA Amotization'!$A167,360,'Owner Occupier'!$D$40,0,0)</f>
        <v>966.8641655831567</v>
      </c>
      <c r="D167" s="4">
        <f t="shared" si="6"/>
        <v>1927.3238270608194</v>
      </c>
      <c r="E167" s="3">
        <f t="shared" si="7"/>
        <v>272036.48120906064</v>
      </c>
      <c r="F167" s="4">
        <f>('Owner Occupier'!$H$24-'Owner Occupier'!$D$52)/('Owner Occupier'!$D$56-'Owner Occupier'!$D$52)*B167</f>
        <v>446.96758753581491</v>
      </c>
      <c r="G167" s="4">
        <f t="shared" si="8"/>
        <v>55725.014076435553</v>
      </c>
    </row>
    <row r="168" spans="1:7">
      <c r="A168">
        <v>165</v>
      </c>
      <c r="B168" s="4">
        <f>-PPMT('Owner Occupier'!$D$41/12,'FHA Amotization'!$A168,360,'Owner Occupier'!$D$40,0,0)</f>
        <v>963.86128944539644</v>
      </c>
      <c r="C168" s="4">
        <f>-IPMT('Owner Occupier'!$D$41/12,'FHA Amotization'!$A168,360,'Owner Occupier'!$D$40,0,0)</f>
        <v>963.46253761542323</v>
      </c>
      <c r="D168" s="4">
        <f t="shared" si="6"/>
        <v>1927.3238270608197</v>
      </c>
      <c r="E168" s="3">
        <f t="shared" si="7"/>
        <v>271072.61991961527</v>
      </c>
      <c r="F168" s="4">
        <f>('Owner Occupier'!$H$24-'Owner Occupier'!$D$52)/('Owner Occupier'!$D$56-'Owner Occupier'!$D$52)*B168</f>
        <v>448.55059774167103</v>
      </c>
      <c r="G168" s="4">
        <f t="shared" si="8"/>
        <v>56173.564674177222</v>
      </c>
    </row>
    <row r="169" spans="1:7">
      <c r="A169">
        <v>166</v>
      </c>
      <c r="B169" s="4">
        <f>-PPMT('Owner Occupier'!$D$41/12,'FHA Amotization'!$A169,360,'Owner Occupier'!$D$40,0,0)</f>
        <v>967.27496484551546</v>
      </c>
      <c r="C169" s="4">
        <f>-IPMT('Owner Occupier'!$D$41/12,'FHA Amotization'!$A169,360,'Owner Occupier'!$D$40,0,0)</f>
        <v>960.04886221530421</v>
      </c>
      <c r="D169" s="4">
        <f t="shared" si="6"/>
        <v>1927.3238270608197</v>
      </c>
      <c r="E169" s="3">
        <f t="shared" si="7"/>
        <v>270105.34495476977</v>
      </c>
      <c r="F169" s="4">
        <f>('Owner Occupier'!$H$24-'Owner Occupier'!$D$52)/('Owner Occupier'!$D$56-'Owner Occupier'!$D$52)*B169</f>
        <v>450.13921444200611</v>
      </c>
      <c r="G169" s="4">
        <f t="shared" si="8"/>
        <v>56623.703888619231</v>
      </c>
    </row>
    <row r="170" spans="1:7">
      <c r="A170">
        <v>167</v>
      </c>
      <c r="B170" s="4">
        <f>-PPMT('Owner Occupier'!$D$41/12,'FHA Amotization'!$A170,360,'Owner Occupier'!$D$40,0,0)</f>
        <v>970.70073034600989</v>
      </c>
      <c r="C170" s="4">
        <f>-IPMT('Owner Occupier'!$D$41/12,'FHA Amotization'!$A170,360,'Owner Occupier'!$D$40,0,0)</f>
        <v>956.62309671480966</v>
      </c>
      <c r="D170" s="4">
        <f t="shared" si="6"/>
        <v>1927.3238270608194</v>
      </c>
      <c r="E170" s="3">
        <f t="shared" si="7"/>
        <v>269134.64422442374</v>
      </c>
      <c r="F170" s="4">
        <f>('Owner Occupier'!$H$24-'Owner Occupier'!$D$52)/('Owner Occupier'!$D$56-'Owner Occupier'!$D$52)*B170</f>
        <v>451.73345749315479</v>
      </c>
      <c r="G170" s="4">
        <f t="shared" si="8"/>
        <v>57075.437346112383</v>
      </c>
    </row>
    <row r="171" spans="1:7">
      <c r="A171">
        <v>168</v>
      </c>
      <c r="B171" s="4">
        <f>-PPMT('Owner Occupier'!$D$41/12,'FHA Amotization'!$A171,360,'Owner Occupier'!$D$40,0,0)</f>
        <v>974.13862876598523</v>
      </c>
      <c r="C171" s="4">
        <f>-IPMT('Owner Occupier'!$D$41/12,'FHA Amotization'!$A171,360,'Owner Occupier'!$D$40,0,0)</f>
        <v>953.18519829483409</v>
      </c>
      <c r="D171" s="4">
        <f t="shared" si="6"/>
        <v>1927.3238270608194</v>
      </c>
      <c r="E171" s="3">
        <f t="shared" si="7"/>
        <v>268160.50559565774</v>
      </c>
      <c r="F171" s="4">
        <f>('Owner Occupier'!$H$24-'Owner Occupier'!$D$52)/('Owner Occupier'!$D$56-'Owner Occupier'!$D$52)*B171</f>
        <v>453.33334682177633</v>
      </c>
      <c r="G171" s="4">
        <f t="shared" si="8"/>
        <v>57528.770692934158</v>
      </c>
    </row>
    <row r="172" spans="1:7">
      <c r="A172">
        <v>169</v>
      </c>
      <c r="B172" s="4">
        <f>-PPMT('Owner Occupier'!$D$41/12,'FHA Amotization'!$A172,360,'Owner Occupier'!$D$40,0,0)</f>
        <v>977.58870307619839</v>
      </c>
      <c r="C172" s="4">
        <f>-IPMT('Owner Occupier'!$D$41/12,'FHA Amotization'!$A172,360,'Owner Occupier'!$D$40,0,0)</f>
        <v>949.7351239846214</v>
      </c>
      <c r="D172" s="4">
        <f t="shared" si="6"/>
        <v>1927.3238270608199</v>
      </c>
      <c r="E172" s="3">
        <f t="shared" si="7"/>
        <v>267182.91689258156</v>
      </c>
      <c r="F172" s="4">
        <f>('Owner Occupier'!$H$24-'Owner Occupier'!$D$52)/('Owner Occupier'!$D$56-'Owner Occupier'!$D$52)*B172</f>
        <v>454.93890242510361</v>
      </c>
      <c r="G172" s="4">
        <f t="shared" si="8"/>
        <v>57983.709595359265</v>
      </c>
    </row>
    <row r="173" spans="1:7">
      <c r="A173">
        <v>170</v>
      </c>
      <c r="B173" s="4">
        <f>-PPMT('Owner Occupier'!$D$41/12,'FHA Amotization'!$A173,360,'Owner Occupier'!$D$40,0,0)</f>
        <v>981.05099639959292</v>
      </c>
      <c r="C173" s="4">
        <f>-IPMT('Owner Occupier'!$D$41/12,'FHA Amotization'!$A173,360,'Owner Occupier'!$D$40,0,0)</f>
        <v>946.27283066122641</v>
      </c>
      <c r="D173" s="4">
        <f t="shared" si="6"/>
        <v>1927.3238270608194</v>
      </c>
      <c r="E173" s="3">
        <f t="shared" si="7"/>
        <v>266201.86589618196</v>
      </c>
      <c r="F173" s="4">
        <f>('Owner Occupier'!$H$24-'Owner Occupier'!$D$52)/('Owner Occupier'!$D$56-'Owner Occupier'!$D$52)*B173</f>
        <v>456.55014437119235</v>
      </c>
      <c r="G173" s="4">
        <f t="shared" si="8"/>
        <v>58440.259739730456</v>
      </c>
    </row>
    <row r="174" spans="1:7">
      <c r="A174">
        <v>171</v>
      </c>
      <c r="B174" s="4">
        <f>-PPMT('Owner Occupier'!$D$41/12,'FHA Amotization'!$A174,360,'Owner Occupier'!$D$40,0,0)</f>
        <v>984.52555201184157</v>
      </c>
      <c r="C174" s="4">
        <f>-IPMT('Owner Occupier'!$D$41/12,'FHA Amotization'!$A174,360,'Owner Occupier'!$D$40,0,0)</f>
        <v>942.79827504897787</v>
      </c>
      <c r="D174" s="4">
        <f t="shared" si="6"/>
        <v>1927.3238270608194</v>
      </c>
      <c r="E174" s="3">
        <f t="shared" si="7"/>
        <v>265217.34034417011</v>
      </c>
      <c r="F174" s="4">
        <f>('Owner Occupier'!$H$24-'Owner Occupier'!$D$52)/('Owner Occupier'!$D$56-'Owner Occupier'!$D$52)*B174</f>
        <v>458.1670927991737</v>
      </c>
      <c r="G174" s="4">
        <f t="shared" si="8"/>
        <v>58898.426832529629</v>
      </c>
    </row>
    <row r="175" spans="1:7">
      <c r="A175">
        <v>172</v>
      </c>
      <c r="B175" s="4">
        <f>-PPMT('Owner Occupier'!$D$41/12,'FHA Amotization'!$A175,360,'Owner Occupier'!$D$40,0,0)</f>
        <v>988.01241334188353</v>
      </c>
      <c r="C175" s="4">
        <f>-IPMT('Owner Occupier'!$D$41/12,'FHA Amotization'!$A175,360,'Owner Occupier'!$D$40,0,0)</f>
        <v>939.31141371893602</v>
      </c>
      <c r="D175" s="4">
        <f t="shared" si="6"/>
        <v>1927.3238270608194</v>
      </c>
      <c r="E175" s="3">
        <f t="shared" si="7"/>
        <v>264229.32793082821</v>
      </c>
      <c r="F175" s="4">
        <f>('Owner Occupier'!$H$24-'Owner Occupier'!$D$52)/('Owner Occupier'!$D$56-'Owner Occupier'!$D$52)*B175</f>
        <v>459.78976791950413</v>
      </c>
      <c r="G175" s="4">
        <f t="shared" si="8"/>
        <v>59358.21660044913</v>
      </c>
    </row>
    <row r="176" spans="1:7">
      <c r="A176">
        <v>173</v>
      </c>
      <c r="B176" s="4">
        <f>-PPMT('Owner Occupier'!$D$41/12,'FHA Amotization'!$A176,360,'Owner Occupier'!$D$40,0,0)</f>
        <v>991.51162397246947</v>
      </c>
      <c r="C176" s="4">
        <f>-IPMT('Owner Occupier'!$D$41/12,'FHA Amotization'!$A176,360,'Owner Occupier'!$D$40,0,0)</f>
        <v>935.8122030883502</v>
      </c>
      <c r="D176" s="4">
        <f t="shared" si="6"/>
        <v>1927.3238270608197</v>
      </c>
      <c r="E176" s="3">
        <f t="shared" si="7"/>
        <v>263237.81630685576</v>
      </c>
      <c r="F176" s="4">
        <f>('Owner Occupier'!$H$24-'Owner Occupier'!$D$52)/('Owner Occupier'!$D$56-'Owner Occupier'!$D$52)*B176</f>
        <v>461.41819001421908</v>
      </c>
      <c r="G176" s="4">
        <f t="shared" si="8"/>
        <v>59819.634790463351</v>
      </c>
    </row>
    <row r="177" spans="1:7">
      <c r="A177">
        <v>174</v>
      </c>
      <c r="B177" s="4">
        <f>-PPMT('Owner Occupier'!$D$41/12,'FHA Amotization'!$A177,360,'Owner Occupier'!$D$40,0,0)</f>
        <v>995.02322764070539</v>
      </c>
      <c r="C177" s="4">
        <f>-IPMT('Owner Occupier'!$D$41/12,'FHA Amotization'!$A177,360,'Owner Occupier'!$D$40,0,0)</f>
        <v>932.30059942011428</v>
      </c>
      <c r="D177" s="4">
        <f t="shared" si="6"/>
        <v>1927.3238270608197</v>
      </c>
      <c r="E177" s="3">
        <f t="shared" si="7"/>
        <v>262242.79307921504</v>
      </c>
      <c r="F177" s="4">
        <f>('Owner Occupier'!$H$24-'Owner Occupier'!$D$52)/('Owner Occupier'!$D$56-'Owner Occupier'!$D$52)*B177</f>
        <v>463.05237943718612</v>
      </c>
      <c r="G177" s="4">
        <f t="shared" si="8"/>
        <v>60282.687169900535</v>
      </c>
    </row>
    <row r="178" spans="1:7">
      <c r="A178">
        <v>175</v>
      </c>
      <c r="B178" s="4">
        <f>-PPMT('Owner Occupier'!$D$41/12,'FHA Amotization'!$A178,360,'Owner Occupier'!$D$40,0,0)</f>
        <v>998.5472682385996</v>
      </c>
      <c r="C178" s="4">
        <f>-IPMT('Owner Occupier'!$D$41/12,'FHA Amotization'!$A178,360,'Owner Occupier'!$D$40,0,0)</f>
        <v>928.77655882222018</v>
      </c>
      <c r="D178" s="4">
        <f t="shared" si="6"/>
        <v>1927.3238270608199</v>
      </c>
      <c r="E178" s="3">
        <f t="shared" si="7"/>
        <v>261244.24581097646</v>
      </c>
      <c r="F178" s="4">
        <f>('Owner Occupier'!$H$24-'Owner Occupier'!$D$52)/('Owner Occupier'!$D$56-'Owner Occupier'!$D$52)*B178</f>
        <v>464.69235661435954</v>
      </c>
      <c r="G178" s="4">
        <f t="shared" si="8"/>
        <v>60747.379526514895</v>
      </c>
    </row>
    <row r="179" spans="1:7">
      <c r="A179">
        <v>176</v>
      </c>
      <c r="B179" s="4">
        <f>-PPMT('Owner Occupier'!$D$41/12,'FHA Amotization'!$A179,360,'Owner Occupier'!$D$40,0,0)</f>
        <v>1002.0837898136111</v>
      </c>
      <c r="C179" s="4">
        <f>-IPMT('Owner Occupier'!$D$41/12,'FHA Amotization'!$A179,360,'Owner Occupier'!$D$40,0,0)</f>
        <v>925.24003724720842</v>
      </c>
      <c r="D179" s="4">
        <f t="shared" si="6"/>
        <v>1927.3238270608194</v>
      </c>
      <c r="E179" s="3">
        <f t="shared" si="7"/>
        <v>260242.16202116283</v>
      </c>
      <c r="F179" s="4">
        <f>('Owner Occupier'!$H$24-'Owner Occupier'!$D$52)/('Owner Occupier'!$D$56-'Owner Occupier'!$D$52)*B179</f>
        <v>466.33814204403529</v>
      </c>
      <c r="G179" s="4">
        <f t="shared" si="8"/>
        <v>61213.717668558929</v>
      </c>
    </row>
    <row r="180" spans="1:7">
      <c r="A180">
        <v>177</v>
      </c>
      <c r="B180" s="4">
        <f>-PPMT('Owner Occupier'!$D$41/12,'FHA Amotization'!$A180,360,'Owner Occupier'!$D$40,0,0)</f>
        <v>1005.6328365692009</v>
      </c>
      <c r="C180" s="4">
        <f>-IPMT('Owner Occupier'!$D$41/12,'FHA Amotization'!$A180,360,'Owner Occupier'!$D$40,0,0)</f>
        <v>921.69099049161855</v>
      </c>
      <c r="D180" s="4">
        <f t="shared" si="6"/>
        <v>1927.3238270608194</v>
      </c>
      <c r="E180" s="3">
        <f t="shared" si="7"/>
        <v>259236.52918459364</v>
      </c>
      <c r="F180" s="4">
        <f>('Owner Occupier'!$H$24-'Owner Occupier'!$D$52)/('Owner Occupier'!$D$56-'Owner Occupier'!$D$52)*B180</f>
        <v>467.98975629710787</v>
      </c>
      <c r="G180" s="4">
        <f t="shared" si="8"/>
        <v>61681.707424856038</v>
      </c>
    </row>
    <row r="181" spans="1:7">
      <c r="A181">
        <v>178</v>
      </c>
      <c r="B181" s="4">
        <f>-PPMT('Owner Occupier'!$D$41/12,'FHA Amotization'!$A181,360,'Owner Occupier'!$D$40,0,0)</f>
        <v>1009.1944528653837</v>
      </c>
      <c r="C181" s="4">
        <f>-IPMT('Owner Occupier'!$D$41/12,'FHA Amotization'!$A181,360,'Owner Occupier'!$D$40,0,0)</f>
        <v>918.12937419543596</v>
      </c>
      <c r="D181" s="4">
        <f t="shared" si="6"/>
        <v>1927.3238270608197</v>
      </c>
      <c r="E181" s="3">
        <f t="shared" si="7"/>
        <v>258227.33473172828</v>
      </c>
      <c r="F181" s="4">
        <f>('Owner Occupier'!$H$24-'Owner Occupier'!$D$52)/('Owner Occupier'!$D$56-'Owner Occupier'!$D$52)*B181</f>
        <v>469.6472200173269</v>
      </c>
      <c r="G181" s="4">
        <f t="shared" si="8"/>
        <v>62151.354644873369</v>
      </c>
    </row>
    <row r="182" spans="1:7">
      <c r="A182">
        <v>179</v>
      </c>
      <c r="B182" s="4">
        <f>-PPMT('Owner Occupier'!$D$41/12,'FHA Amotization'!$A182,360,'Owner Occupier'!$D$40,0,0)</f>
        <v>1012.7686832192818</v>
      </c>
      <c r="C182" s="4">
        <f>-IPMT('Owner Occupier'!$D$41/12,'FHA Amotization'!$A182,360,'Owner Occupier'!$D$40,0,0)</f>
        <v>914.55514384153764</v>
      </c>
      <c r="D182" s="4">
        <f t="shared" si="6"/>
        <v>1927.3238270608194</v>
      </c>
      <c r="E182" s="3">
        <f t="shared" si="7"/>
        <v>257214.566048509</v>
      </c>
      <c r="F182" s="4">
        <f>('Owner Occupier'!$H$24-'Owner Occupier'!$D$52)/('Owner Occupier'!$D$56-'Owner Occupier'!$D$52)*B182</f>
        <v>471.31055392155486</v>
      </c>
      <c r="G182" s="4">
        <f t="shared" si="8"/>
        <v>62622.665198794923</v>
      </c>
    </row>
    <row r="183" spans="1:7">
      <c r="A183">
        <v>180</v>
      </c>
      <c r="B183" s="4">
        <f>-PPMT('Owner Occupier'!$D$41/12,'FHA Amotization'!$A183,360,'Owner Occupier'!$D$40,0,0)</f>
        <v>1016.3555723056834</v>
      </c>
      <c r="C183" s="4">
        <f>-IPMT('Owner Occupier'!$D$41/12,'FHA Amotization'!$A183,360,'Owner Occupier'!$D$40,0,0)</f>
        <v>910.96825475513629</v>
      </c>
      <c r="D183" s="4">
        <f t="shared" si="6"/>
        <v>1927.3238270608197</v>
      </c>
      <c r="E183" s="3">
        <f t="shared" si="7"/>
        <v>256198.21047620333</v>
      </c>
      <c r="F183" s="4">
        <f>('Owner Occupier'!$H$24-'Owner Occupier'!$D$52)/('Owner Occupier'!$D$56-'Owner Occupier'!$D$52)*B183</f>
        <v>472.97977880002702</v>
      </c>
      <c r="G183" s="4">
        <f t="shared" si="8"/>
        <v>63095.644977594951</v>
      </c>
    </row>
    <row r="184" spans="1:7">
      <c r="A184">
        <v>181</v>
      </c>
      <c r="B184" s="4">
        <f>-PPMT('Owner Occupier'!$D$41/12,'FHA Amotization'!$A184,360,'Owner Occupier'!$D$40,0,0)</f>
        <v>1019.9551649575995</v>
      </c>
      <c r="C184" s="4">
        <f>-IPMT('Owner Occupier'!$D$41/12,'FHA Amotization'!$A184,360,'Owner Occupier'!$D$40,0,0)</f>
        <v>907.36866210322023</v>
      </c>
      <c r="D184" s="4">
        <f t="shared" si="6"/>
        <v>1927.3238270608199</v>
      </c>
      <c r="E184" s="3">
        <f t="shared" si="7"/>
        <v>255178.25531124574</v>
      </c>
      <c r="F184" s="4">
        <f>('Owner Occupier'!$H$24-'Owner Occupier'!$D$52)/('Owner Occupier'!$D$56-'Owner Occupier'!$D$52)*B184</f>
        <v>474.65491551661057</v>
      </c>
      <c r="G184" s="4">
        <f t="shared" si="8"/>
        <v>63570.299893111565</v>
      </c>
    </row>
    <row r="185" spans="1:7">
      <c r="A185">
        <v>182</v>
      </c>
      <c r="B185" s="4">
        <f>-PPMT('Owner Occupier'!$D$41/12,'FHA Amotization'!$A185,360,'Owner Occupier'!$D$40,0,0)</f>
        <v>1023.5675061668242</v>
      </c>
      <c r="C185" s="4">
        <f>-IPMT('Owner Occupier'!$D$41/12,'FHA Amotization'!$A185,360,'Owner Occupier'!$D$40,0,0)</f>
        <v>903.75632089399517</v>
      </c>
      <c r="D185" s="4">
        <f t="shared" si="6"/>
        <v>1927.3238270608194</v>
      </c>
      <c r="E185" s="3">
        <f t="shared" si="7"/>
        <v>254154.68780507892</v>
      </c>
      <c r="F185" s="4">
        <f>('Owner Occupier'!$H$24-'Owner Occupier'!$D$52)/('Owner Occupier'!$D$56-'Owner Occupier'!$D$52)*B185</f>
        <v>476.3359850090651</v>
      </c>
      <c r="G185" s="4">
        <f t="shared" si="8"/>
        <v>64046.635878120629</v>
      </c>
    </row>
    <row r="186" spans="1:7">
      <c r="A186">
        <v>183</v>
      </c>
      <c r="B186" s="4">
        <f>-PPMT('Owner Occupier'!$D$41/12,'FHA Amotization'!$A186,360,'Owner Occupier'!$D$40,0,0)</f>
        <v>1027.1926410844985</v>
      </c>
      <c r="C186" s="4">
        <f>-IPMT('Owner Occupier'!$D$41/12,'FHA Amotization'!$A186,360,'Owner Occupier'!$D$40,0,0)</f>
        <v>900.13118597632126</v>
      </c>
      <c r="D186" s="4">
        <f t="shared" si="6"/>
        <v>1927.3238270608199</v>
      </c>
      <c r="E186" s="3">
        <f t="shared" si="7"/>
        <v>253127.49516399443</v>
      </c>
      <c r="F186" s="4">
        <f>('Owner Occupier'!$H$24-'Owner Occupier'!$D$52)/('Owner Occupier'!$D$56-'Owner Occupier'!$D$52)*B186</f>
        <v>478.02300828930566</v>
      </c>
      <c r="G186" s="4">
        <f t="shared" si="8"/>
        <v>64524.658886409932</v>
      </c>
    </row>
    <row r="187" spans="1:7">
      <c r="A187">
        <v>184</v>
      </c>
      <c r="B187" s="4">
        <f>-PPMT('Owner Occupier'!$D$41/12,'FHA Amotization'!$A187,360,'Owner Occupier'!$D$40,0,0)</f>
        <v>1030.8306150216729</v>
      </c>
      <c r="C187" s="4">
        <f>-IPMT('Owner Occupier'!$D$41/12,'FHA Amotization'!$A187,360,'Owner Occupier'!$D$40,0,0)</f>
        <v>896.49321203914678</v>
      </c>
      <c r="D187" s="4">
        <f t="shared" si="6"/>
        <v>1927.3238270608197</v>
      </c>
      <c r="E187" s="3">
        <f t="shared" si="7"/>
        <v>252096.66454897277</v>
      </c>
      <c r="F187" s="4">
        <f>('Owner Occupier'!$H$24-'Owner Occupier'!$D$52)/('Owner Occupier'!$D$56-'Owner Occupier'!$D$52)*B187</f>
        <v>479.71600644366367</v>
      </c>
      <c r="G187" s="4">
        <f t="shared" si="8"/>
        <v>65004.374892853593</v>
      </c>
    </row>
    <row r="188" spans="1:7">
      <c r="A188">
        <v>185</v>
      </c>
      <c r="B188" s="4">
        <f>-PPMT('Owner Occupier'!$D$41/12,'FHA Amotization'!$A188,360,'Owner Occupier'!$D$40,0,0)</f>
        <v>1034.4814734498743</v>
      </c>
      <c r="C188" s="4">
        <f>-IPMT('Owner Occupier'!$D$41/12,'FHA Amotization'!$A188,360,'Owner Occupier'!$D$40,0,0)</f>
        <v>892.84235361094522</v>
      </c>
      <c r="D188" s="4">
        <f t="shared" si="6"/>
        <v>1927.3238270608194</v>
      </c>
      <c r="E188" s="3">
        <f t="shared" si="7"/>
        <v>251062.18307552289</v>
      </c>
      <c r="F188" s="4">
        <f>('Owner Occupier'!$H$24-'Owner Occupier'!$D$52)/('Owner Occupier'!$D$56-'Owner Occupier'!$D$52)*B188</f>
        <v>481.41500063315146</v>
      </c>
      <c r="G188" s="4">
        <f t="shared" si="8"/>
        <v>65485.789893486748</v>
      </c>
    </row>
    <row r="189" spans="1:7">
      <c r="A189">
        <v>186</v>
      </c>
      <c r="B189" s="4">
        <f>-PPMT('Owner Occupier'!$D$41/12,'FHA Amotization'!$A189,360,'Owner Occupier'!$D$40,0,0)</f>
        <v>1038.145262001676</v>
      </c>
      <c r="C189" s="4">
        <f>-IPMT('Owner Occupier'!$D$41/12,'FHA Amotization'!$A189,360,'Owner Occupier'!$D$40,0,0)</f>
        <v>889.17856505914358</v>
      </c>
      <c r="D189" s="4">
        <f t="shared" si="6"/>
        <v>1927.3238270608194</v>
      </c>
      <c r="E189" s="3">
        <f t="shared" si="7"/>
        <v>250024.03781352122</v>
      </c>
      <c r="F189" s="4">
        <f>('Owner Occupier'!$H$24-'Owner Occupier'!$D$52)/('Owner Occupier'!$D$56-'Owner Occupier'!$D$52)*B189</f>
        <v>483.12001209372721</v>
      </c>
      <c r="G189" s="4">
        <f t="shared" si="8"/>
        <v>65968.909905580469</v>
      </c>
    </row>
    <row r="190" spans="1:7">
      <c r="A190">
        <v>187</v>
      </c>
      <c r="B190" s="4">
        <f>-PPMT('Owner Occupier'!$D$41/12,'FHA Amotization'!$A190,360,'Owner Occupier'!$D$40,0,0)</f>
        <v>1041.8220264712654</v>
      </c>
      <c r="C190" s="4">
        <f>-IPMT('Owner Occupier'!$D$41/12,'FHA Amotization'!$A190,360,'Owner Occupier'!$D$40,0,0)</f>
        <v>885.50180058955414</v>
      </c>
      <c r="D190" s="4">
        <f t="shared" si="6"/>
        <v>1927.3238270608194</v>
      </c>
      <c r="E190" s="3">
        <f t="shared" si="7"/>
        <v>248982.21578704997</v>
      </c>
      <c r="F190" s="4">
        <f>('Owner Occupier'!$H$24-'Owner Occupier'!$D$52)/('Owner Occupier'!$D$56-'Owner Occupier'!$D$52)*B190</f>
        <v>484.83106213655924</v>
      </c>
      <c r="G190" s="4">
        <f t="shared" si="8"/>
        <v>66453.740967717022</v>
      </c>
    </row>
    <row r="191" spans="1:7">
      <c r="A191">
        <v>188</v>
      </c>
      <c r="B191" s="4">
        <f>-PPMT('Owner Occupier'!$D$41/12,'FHA Amotization'!$A191,360,'Owner Occupier'!$D$40,0,0)</f>
        <v>1045.5118128150177</v>
      </c>
      <c r="C191" s="4">
        <f>-IPMT('Owner Occupier'!$D$41/12,'FHA Amotization'!$A191,360,'Owner Occupier'!$D$40,0,0)</f>
        <v>881.81201424580195</v>
      </c>
      <c r="D191" s="4">
        <f t="shared" si="6"/>
        <v>1927.3238270608197</v>
      </c>
      <c r="E191" s="3">
        <f t="shared" si="7"/>
        <v>247936.70397423496</v>
      </c>
      <c r="F191" s="4">
        <f>('Owner Occupier'!$H$24-'Owner Occupier'!$D$52)/('Owner Occupier'!$D$56-'Owner Occupier'!$D$52)*B191</f>
        <v>486.54817214829285</v>
      </c>
      <c r="G191" s="4">
        <f t="shared" si="8"/>
        <v>66940.289139865316</v>
      </c>
    </row>
    <row r="192" spans="1:7">
      <c r="A192">
        <v>189</v>
      </c>
      <c r="B192" s="4">
        <f>-PPMT('Owner Occupier'!$D$41/12,'FHA Amotization'!$A192,360,'Owner Occupier'!$D$40,0,0)</f>
        <v>1049.2146671520711</v>
      </c>
      <c r="C192" s="4">
        <f>-IPMT('Owner Occupier'!$D$41/12,'FHA Amotization'!$A192,360,'Owner Occupier'!$D$40,0,0)</f>
        <v>878.10915990874867</v>
      </c>
      <c r="D192" s="4">
        <f t="shared" si="6"/>
        <v>1927.3238270608199</v>
      </c>
      <c r="E192" s="3">
        <f t="shared" si="7"/>
        <v>246887.4893070829</v>
      </c>
      <c r="F192" s="4">
        <f>('Owner Occupier'!$H$24-'Owner Occupier'!$D$52)/('Owner Occupier'!$D$56-'Owner Occupier'!$D$52)*B192</f>
        <v>488.27136359131816</v>
      </c>
      <c r="G192" s="4">
        <f t="shared" si="8"/>
        <v>67428.56050345664</v>
      </c>
    </row>
    <row r="193" spans="1:7">
      <c r="A193">
        <v>190</v>
      </c>
      <c r="B193" s="4">
        <f>-PPMT('Owner Occupier'!$D$41/12,'FHA Amotization'!$A193,360,'Owner Occupier'!$D$40,0,0)</f>
        <v>1052.9306357649011</v>
      </c>
      <c r="C193" s="4">
        <f>-IPMT('Owner Occupier'!$D$41/12,'FHA Amotization'!$A193,360,'Owner Occupier'!$D$40,0,0)</f>
        <v>874.39319129591843</v>
      </c>
      <c r="D193" s="4">
        <f t="shared" si="6"/>
        <v>1927.3238270608194</v>
      </c>
      <c r="E193" s="3">
        <f t="shared" si="7"/>
        <v>245834.55867131799</v>
      </c>
      <c r="F193" s="4">
        <f>('Owner Occupier'!$H$24-'Owner Occupier'!$D$52)/('Owner Occupier'!$D$56-'Owner Occupier'!$D$52)*B193</f>
        <v>490.00065800403729</v>
      </c>
      <c r="G193" s="4">
        <f t="shared" si="8"/>
        <v>67918.561161460675</v>
      </c>
    </row>
    <row r="194" spans="1:7">
      <c r="A194">
        <v>191</v>
      </c>
      <c r="B194" s="4">
        <f>-PPMT('Owner Occupier'!$D$41/12,'FHA Amotization'!$A194,360,'Owner Occupier'!$D$40,0,0)</f>
        <v>1056.6597650999017</v>
      </c>
      <c r="C194" s="4">
        <f>-IPMT('Owner Occupier'!$D$41/12,'FHA Amotization'!$A194,360,'Owner Occupier'!$D$40,0,0)</f>
        <v>870.66406196091771</v>
      </c>
      <c r="D194" s="4">
        <f t="shared" si="6"/>
        <v>1927.3238270608194</v>
      </c>
      <c r="E194" s="3">
        <f t="shared" si="7"/>
        <v>244777.89890621809</v>
      </c>
      <c r="F194" s="4">
        <f>('Owner Occupier'!$H$24-'Owner Occupier'!$D$52)/('Owner Occupier'!$D$56-'Owner Occupier'!$D$52)*B194</f>
        <v>491.7360770011349</v>
      </c>
      <c r="G194" s="4">
        <f t="shared" si="8"/>
        <v>68410.297238461804</v>
      </c>
    </row>
    <row r="195" spans="1:7">
      <c r="A195">
        <v>192</v>
      </c>
      <c r="B195" s="4">
        <f>-PPMT('Owner Occupier'!$D$41/12,'FHA Amotization'!$A195,360,'Owner Occupier'!$D$40,0,0)</f>
        <v>1060.402101767964</v>
      </c>
      <c r="C195" s="4">
        <f>-IPMT('Owner Occupier'!$D$41/12,'FHA Amotization'!$A195,360,'Owner Occupier'!$D$40,0,0)</f>
        <v>866.92172529285563</v>
      </c>
      <c r="D195" s="4">
        <f t="shared" si="6"/>
        <v>1927.3238270608197</v>
      </c>
      <c r="E195" s="3">
        <f t="shared" si="7"/>
        <v>243717.49680445011</v>
      </c>
      <c r="F195" s="4">
        <f>('Owner Occupier'!$H$24-'Owner Occupier'!$D$52)/('Owner Occupier'!$D$56-'Owner Occupier'!$D$52)*B195</f>
        <v>493.47764227384732</v>
      </c>
      <c r="G195" s="4">
        <f t="shared" si="8"/>
        <v>68903.774880735655</v>
      </c>
    </row>
    <row r="196" spans="1:7">
      <c r="A196">
        <v>193</v>
      </c>
      <c r="B196" s="4">
        <f>-PPMT('Owner Occupier'!$D$41/12,'FHA Amotization'!$A196,360,'Owner Occupier'!$D$40,0,0)</f>
        <v>1064.1576925450588</v>
      </c>
      <c r="C196" s="4">
        <f>-IPMT('Owner Occupier'!$D$41/12,'FHA Amotization'!$A196,360,'Owner Occupier'!$D$40,0,0)</f>
        <v>863.16613451576063</v>
      </c>
      <c r="D196" s="4">
        <f t="shared" si="6"/>
        <v>1927.3238270608194</v>
      </c>
      <c r="E196" s="3">
        <f t="shared" si="7"/>
        <v>242653.33911190505</v>
      </c>
      <c r="F196" s="4">
        <f>('Owner Occupier'!$H$24-'Owner Occupier'!$D$52)/('Owner Occupier'!$D$56-'Owner Occupier'!$D$52)*B196</f>
        <v>495.2253755902338</v>
      </c>
      <c r="G196" s="4">
        <f t="shared" si="8"/>
        <v>69399.000256325889</v>
      </c>
    </row>
    <row r="197" spans="1:7">
      <c r="A197">
        <v>194</v>
      </c>
      <c r="B197" s="4">
        <f>-PPMT('Owner Occupier'!$D$41/12,'FHA Amotization'!$A197,360,'Owner Occupier'!$D$40,0,0)</f>
        <v>1067.9265843728228</v>
      </c>
      <c r="C197" s="4">
        <f>-IPMT('Owner Occupier'!$D$41/12,'FHA Amotization'!$A197,360,'Owner Occupier'!$D$40,0,0)</f>
        <v>859.39724268799716</v>
      </c>
      <c r="D197" s="4">
        <f t="shared" ref="D197:D260" si="9">B197+C197</f>
        <v>1927.3238270608199</v>
      </c>
      <c r="E197" s="3">
        <f t="shared" si="7"/>
        <v>241585.41252753223</v>
      </c>
      <c r="F197" s="4">
        <f>('Owner Occupier'!$H$24-'Owner Occupier'!$D$52)/('Owner Occupier'!$D$56-'Owner Occupier'!$D$52)*B197</f>
        <v>496.97929879544938</v>
      </c>
      <c r="G197" s="4">
        <f t="shared" si="8"/>
        <v>69895.979555121332</v>
      </c>
    </row>
    <row r="198" spans="1:7">
      <c r="A198">
        <v>195</v>
      </c>
      <c r="B198" s="4">
        <f>-PPMT('Owner Occupier'!$D$41/12,'FHA Amotization'!$A198,360,'Owner Occupier'!$D$40,0,0)</f>
        <v>1071.7088243591429</v>
      </c>
      <c r="C198" s="4">
        <f>-IPMT('Owner Occupier'!$D$41/12,'FHA Amotization'!$A198,360,'Owner Occupier'!$D$40,0,0)</f>
        <v>855.61500270167653</v>
      </c>
      <c r="D198" s="4">
        <f t="shared" si="9"/>
        <v>1927.3238270608194</v>
      </c>
      <c r="E198" s="3">
        <f t="shared" ref="E198:E261" si="10">E197-B198</f>
        <v>240513.70370317309</v>
      </c>
      <c r="F198" s="4">
        <f>('Owner Occupier'!$H$24-'Owner Occupier'!$D$52)/('Owner Occupier'!$D$56-'Owner Occupier'!$D$52)*B198</f>
        <v>498.73943381201639</v>
      </c>
      <c r="G198" s="4">
        <f t="shared" ref="G198:G261" si="11">F198+G197</f>
        <v>70394.718988933353</v>
      </c>
    </row>
    <row r="199" spans="1:7">
      <c r="A199">
        <v>196</v>
      </c>
      <c r="B199" s="4">
        <f>-PPMT('Owner Occupier'!$D$41/12,'FHA Amotization'!$A199,360,'Owner Occupier'!$D$40,0,0)</f>
        <v>1075.5044597787485</v>
      </c>
      <c r="C199" s="4">
        <f>-IPMT('Owner Occupier'!$D$41/12,'FHA Amotization'!$A199,360,'Owner Occupier'!$D$40,0,0)</f>
        <v>851.81936728207131</v>
      </c>
      <c r="D199" s="4">
        <f t="shared" si="9"/>
        <v>1927.3238270608199</v>
      </c>
      <c r="E199" s="3">
        <f t="shared" si="10"/>
        <v>239438.19924339434</v>
      </c>
      <c r="F199" s="4">
        <f>('Owner Occupier'!$H$24-'Owner Occupier'!$D$52)/('Owner Occupier'!$D$56-'Owner Occupier'!$D$52)*B199</f>
        <v>500.50580264010074</v>
      </c>
      <c r="G199" s="4">
        <f t="shared" si="11"/>
        <v>70895.224791573448</v>
      </c>
    </row>
    <row r="200" spans="1:7">
      <c r="A200">
        <v>197</v>
      </c>
      <c r="B200" s="4">
        <f>-PPMT('Owner Occupier'!$D$41/12,'FHA Amotization'!$A200,360,'Owner Occupier'!$D$40,0,0)</f>
        <v>1079.3135380737981</v>
      </c>
      <c r="C200" s="4">
        <f>-IPMT('Owner Occupier'!$D$41/12,'FHA Amotization'!$A200,360,'Owner Occupier'!$D$40,0,0)</f>
        <v>848.01028898702145</v>
      </c>
      <c r="D200" s="4">
        <f t="shared" si="9"/>
        <v>1927.3238270608194</v>
      </c>
      <c r="E200" s="3">
        <f t="shared" si="10"/>
        <v>238358.88570532054</v>
      </c>
      <c r="F200" s="4">
        <f>('Owner Occupier'!$H$24-'Owner Occupier'!$D$52)/('Owner Occupier'!$D$56-'Owner Occupier'!$D$52)*B200</f>
        <v>502.27842735778438</v>
      </c>
      <c r="G200" s="4">
        <f t="shared" si="11"/>
        <v>71397.503218931233</v>
      </c>
    </row>
    <row r="201" spans="1:7">
      <c r="A201">
        <v>198</v>
      </c>
      <c r="B201" s="4">
        <f>-PPMT('Owner Occupier'!$D$41/12,'FHA Amotization'!$A201,360,'Owner Occupier'!$D$40,0,0)</f>
        <v>1083.1361068544761</v>
      </c>
      <c r="C201" s="4">
        <f>-IPMT('Owner Occupier'!$D$41/12,'FHA Amotization'!$A201,360,'Owner Occupier'!$D$40,0,0)</f>
        <v>844.18772020634356</v>
      </c>
      <c r="D201" s="4">
        <f t="shared" si="9"/>
        <v>1927.3238270608197</v>
      </c>
      <c r="E201" s="3">
        <f t="shared" si="10"/>
        <v>237275.74959846606</v>
      </c>
      <c r="F201" s="4">
        <f>('Owner Occupier'!$H$24-'Owner Occupier'!$D$52)/('Owner Occupier'!$D$56-'Owner Occupier'!$D$52)*B201</f>
        <v>504.05733012134323</v>
      </c>
      <c r="G201" s="4">
        <f t="shared" si="11"/>
        <v>71901.560549052578</v>
      </c>
    </row>
    <row r="202" spans="1:7">
      <c r="A202">
        <v>199</v>
      </c>
      <c r="B202" s="4">
        <f>-PPMT('Owner Occupier'!$D$41/12,'FHA Amotization'!$A202,360,'Owner Occupier'!$D$40,0,0)</f>
        <v>1086.9722138995858</v>
      </c>
      <c r="C202" s="4">
        <f>-IPMT('Owner Occupier'!$D$41/12,'FHA Amotization'!$A202,360,'Owner Occupier'!$D$40,0,0)</f>
        <v>840.35161316123367</v>
      </c>
      <c r="D202" s="4">
        <f t="shared" si="9"/>
        <v>1927.3238270608194</v>
      </c>
      <c r="E202" s="3">
        <f t="shared" si="10"/>
        <v>236188.77738456649</v>
      </c>
      <c r="F202" s="4">
        <f>('Owner Occupier'!$H$24-'Owner Occupier'!$D$52)/('Owner Occupier'!$D$56-'Owner Occupier'!$D$52)*B202</f>
        <v>505.84253316552298</v>
      </c>
      <c r="G202" s="4">
        <f t="shared" si="11"/>
        <v>72407.403082218094</v>
      </c>
    </row>
    <row r="203" spans="1:7">
      <c r="A203">
        <v>200</v>
      </c>
      <c r="B203" s="4">
        <f>-PPMT('Owner Occupier'!$D$41/12,'FHA Amotization'!$A203,360,'Owner Occupier'!$D$40,0,0)</f>
        <v>1090.8219071571468</v>
      </c>
      <c r="C203" s="4">
        <f>-IPMT('Owner Occupier'!$D$41/12,'FHA Amotization'!$A203,360,'Owner Occupier'!$D$40,0,0)</f>
        <v>836.50191990367284</v>
      </c>
      <c r="D203" s="4">
        <f t="shared" si="9"/>
        <v>1927.3238270608197</v>
      </c>
      <c r="E203" s="3">
        <f t="shared" si="10"/>
        <v>235097.95547740936</v>
      </c>
      <c r="F203" s="4">
        <f>('Owner Occupier'!$H$24-'Owner Occupier'!$D$52)/('Owner Occupier'!$D$56-'Owner Occupier'!$D$52)*B203</f>
        <v>507.63405880381754</v>
      </c>
      <c r="G203" s="4">
        <f t="shared" si="11"/>
        <v>72915.037141021909</v>
      </c>
    </row>
    <row r="204" spans="1:7">
      <c r="A204">
        <v>201</v>
      </c>
      <c r="B204" s="4">
        <f>-PPMT('Owner Occupier'!$D$41/12,'FHA Amotization'!$A204,360,'Owner Occupier'!$D$40,0,0)</f>
        <v>1094.6852347449951</v>
      </c>
      <c r="C204" s="4">
        <f>-IPMT('Owner Occupier'!$D$41/12,'FHA Amotization'!$A204,360,'Owner Occupier'!$D$40,0,0)</f>
        <v>832.63859231582478</v>
      </c>
      <c r="D204" s="4">
        <f t="shared" si="9"/>
        <v>1927.3238270608199</v>
      </c>
      <c r="E204" s="3">
        <f t="shared" si="10"/>
        <v>234003.27024266435</v>
      </c>
      <c r="F204" s="4">
        <f>('Owner Occupier'!$H$24-'Owner Occupier'!$D$52)/('Owner Occupier'!$D$56-'Owner Occupier'!$D$52)*B204</f>
        <v>509.43192942874776</v>
      </c>
      <c r="G204" s="4">
        <f t="shared" si="11"/>
        <v>73424.46907045065</v>
      </c>
    </row>
    <row r="205" spans="1:7">
      <c r="A205">
        <v>202</v>
      </c>
      <c r="B205" s="4">
        <f>-PPMT('Owner Occupier'!$D$41/12,'FHA Amotization'!$A205,360,'Owner Occupier'!$D$40,0,0)</f>
        <v>1098.5622449513835</v>
      </c>
      <c r="C205" s="4">
        <f>-IPMT('Owner Occupier'!$D$41/12,'FHA Amotization'!$A205,360,'Owner Occupier'!$D$40,0,0)</f>
        <v>828.76158210943595</v>
      </c>
      <c r="D205" s="4">
        <f t="shared" si="9"/>
        <v>1927.3238270608194</v>
      </c>
      <c r="E205" s="3">
        <f t="shared" si="10"/>
        <v>232904.70799771298</v>
      </c>
      <c r="F205" s="4">
        <f>('Owner Occupier'!$H$24-'Owner Occupier'!$D$52)/('Owner Occupier'!$D$56-'Owner Occupier'!$D$52)*B205</f>
        <v>511.23616751214121</v>
      </c>
      <c r="G205" s="4">
        <f t="shared" si="11"/>
        <v>73935.705237962786</v>
      </c>
    </row>
    <row r="206" spans="1:7">
      <c r="A206">
        <v>203</v>
      </c>
      <c r="B206" s="4">
        <f>-PPMT('Owner Occupier'!$D$41/12,'FHA Amotization'!$A206,360,'Owner Occupier'!$D$40,0,0)</f>
        <v>1102.4529862355864</v>
      </c>
      <c r="C206" s="4">
        <f>-IPMT('Owner Occupier'!$D$41/12,'FHA Amotization'!$A206,360,'Owner Occupier'!$D$40,0,0)</f>
        <v>824.87084082523324</v>
      </c>
      <c r="D206" s="4">
        <f t="shared" si="9"/>
        <v>1927.3238270608197</v>
      </c>
      <c r="E206" s="3">
        <f t="shared" si="10"/>
        <v>231802.25501147739</v>
      </c>
      <c r="F206" s="4">
        <f>('Owner Occupier'!$H$24-'Owner Occupier'!$D$52)/('Owner Occupier'!$D$56-'Owner Occupier'!$D$52)*B206</f>
        <v>513.04679560541342</v>
      </c>
      <c r="G206" s="4">
        <f t="shared" si="11"/>
        <v>74448.752033568206</v>
      </c>
    </row>
    <row r="207" spans="1:7">
      <c r="A207">
        <v>204</v>
      </c>
      <c r="B207" s="4">
        <f>-PPMT('Owner Occupier'!$D$41/12,'FHA Amotization'!$A207,360,'Owner Occupier'!$D$40,0,0)</f>
        <v>1106.3575072285039</v>
      </c>
      <c r="C207" s="4">
        <f>-IPMT('Owner Occupier'!$D$41/12,'FHA Amotization'!$A207,360,'Owner Occupier'!$D$40,0,0)</f>
        <v>820.96631983231566</v>
      </c>
      <c r="D207" s="4">
        <f t="shared" si="9"/>
        <v>1927.3238270608194</v>
      </c>
      <c r="E207" s="3">
        <f t="shared" si="10"/>
        <v>230695.89750424889</v>
      </c>
      <c r="F207" s="4">
        <f>('Owner Occupier'!$H$24-'Owner Occupier'!$D$52)/('Owner Occupier'!$D$56-'Owner Occupier'!$D$52)*B207</f>
        <v>514.86383633984917</v>
      </c>
      <c r="G207" s="4">
        <f t="shared" si="11"/>
        <v>74963.615869908055</v>
      </c>
    </row>
    <row r="208" spans="1:7">
      <c r="A208">
        <v>205</v>
      </c>
      <c r="B208" s="4">
        <f>-PPMT('Owner Occupier'!$D$41/12,'FHA Amotization'!$A208,360,'Owner Occupier'!$D$40,0,0)</f>
        <v>1110.2758567332719</v>
      </c>
      <c r="C208" s="4">
        <f>-IPMT('Owner Occupier'!$D$41/12,'FHA Amotization'!$A208,360,'Owner Occupier'!$D$40,0,0)</f>
        <v>817.047970327548</v>
      </c>
      <c r="D208" s="4">
        <f t="shared" si="9"/>
        <v>1927.3238270608199</v>
      </c>
      <c r="E208" s="3">
        <f t="shared" si="10"/>
        <v>229585.62164751563</v>
      </c>
      <c r="F208" s="4">
        <f>('Owner Occupier'!$H$24-'Owner Occupier'!$D$52)/('Owner Occupier'!$D$56-'Owner Occupier'!$D$52)*B208</f>
        <v>516.68731242688625</v>
      </c>
      <c r="G208" s="4">
        <f t="shared" si="11"/>
        <v>75480.303182334945</v>
      </c>
    </row>
    <row r="209" spans="1:7">
      <c r="A209">
        <v>206</v>
      </c>
      <c r="B209" s="4">
        <f>-PPMT('Owner Occupier'!$D$41/12,'FHA Amotization'!$A209,360,'Owner Occupier'!$D$40,0,0)</f>
        <v>1114.2080837258686</v>
      </c>
      <c r="C209" s="4">
        <f>-IPMT('Owner Occupier'!$D$41/12,'FHA Amotization'!$A209,360,'Owner Occupier'!$D$40,0,0)</f>
        <v>813.11574333495093</v>
      </c>
      <c r="D209" s="4">
        <f t="shared" si="9"/>
        <v>1927.3238270608194</v>
      </c>
      <c r="E209" s="3">
        <f t="shared" si="10"/>
        <v>228471.41356378977</v>
      </c>
      <c r="F209" s="4">
        <f>('Owner Occupier'!$H$24-'Owner Occupier'!$D$52)/('Owner Occupier'!$D$56-'Owner Occupier'!$D$52)*B209</f>
        <v>518.51724665839799</v>
      </c>
      <c r="G209" s="4">
        <f t="shared" si="11"/>
        <v>75998.820428993349</v>
      </c>
    </row>
    <row r="210" spans="1:7">
      <c r="A210">
        <v>207</v>
      </c>
      <c r="B210" s="4">
        <f>-PPMT('Owner Occupier'!$D$41/12,'FHA Amotization'!$A210,360,'Owner Occupier'!$D$40,0,0)</f>
        <v>1118.1542373557311</v>
      </c>
      <c r="C210" s="4">
        <f>-IPMT('Owner Occupier'!$D$41/12,'FHA Amotization'!$A210,360,'Owner Occupier'!$D$40,0,0)</f>
        <v>809.16958970508847</v>
      </c>
      <c r="D210" s="4">
        <f t="shared" si="9"/>
        <v>1927.3238270608194</v>
      </c>
      <c r="E210" s="3">
        <f t="shared" si="10"/>
        <v>227353.25932643405</v>
      </c>
      <c r="F210" s="4">
        <f>('Owner Occupier'!$H$24-'Owner Occupier'!$D$52)/('Owner Occupier'!$D$56-'Owner Occupier'!$D$52)*B210</f>
        <v>520.35366190697994</v>
      </c>
      <c r="G210" s="4">
        <f t="shared" si="11"/>
        <v>76519.174090900327</v>
      </c>
    </row>
    <row r="211" spans="1:7">
      <c r="A211">
        <v>208</v>
      </c>
      <c r="B211" s="4">
        <f>-PPMT('Owner Occupier'!$D$41/12,'FHA Amotization'!$A211,360,'Owner Occupier'!$D$40,0,0)</f>
        <v>1122.1143669463661</v>
      </c>
      <c r="C211" s="4">
        <f>-IPMT('Owner Occupier'!$D$41/12,'FHA Amotization'!$A211,360,'Owner Occupier'!$D$40,0,0)</f>
        <v>805.20946011445369</v>
      </c>
      <c r="D211" s="4">
        <f t="shared" si="9"/>
        <v>1927.3238270608199</v>
      </c>
      <c r="E211" s="3">
        <f t="shared" si="10"/>
        <v>226231.14495948769</v>
      </c>
      <c r="F211" s="4">
        <f>('Owner Occupier'!$H$24-'Owner Occupier'!$D$52)/('Owner Occupier'!$D$56-'Owner Occupier'!$D$52)*B211</f>
        <v>522.19658112623381</v>
      </c>
      <c r="G211" s="4">
        <f t="shared" si="11"/>
        <v>77041.370672026562</v>
      </c>
    </row>
    <row r="212" spans="1:7">
      <c r="A212">
        <v>209</v>
      </c>
      <c r="B212" s="4">
        <f>-PPMT('Owner Occupier'!$D$41/12,'FHA Amotization'!$A212,360,'Owner Occupier'!$D$40,0,0)</f>
        <v>1126.0885219959675</v>
      </c>
      <c r="C212" s="4">
        <f>-IPMT('Owner Occupier'!$D$41/12,'FHA Amotization'!$A212,360,'Owner Occupier'!$D$40,0,0)</f>
        <v>801.2353050648519</v>
      </c>
      <c r="D212" s="4">
        <f t="shared" si="9"/>
        <v>1927.3238270608194</v>
      </c>
      <c r="E212" s="3">
        <f t="shared" si="10"/>
        <v>225105.05643749173</v>
      </c>
      <c r="F212" s="4">
        <f>('Owner Occupier'!$H$24-'Owner Occupier'!$D$52)/('Owner Occupier'!$D$56-'Owner Occupier'!$D$52)*B212</f>
        <v>524.04602735105573</v>
      </c>
      <c r="G212" s="4">
        <f t="shared" si="11"/>
        <v>77565.416699377616</v>
      </c>
    </row>
    <row r="213" spans="1:7">
      <c r="A213">
        <v>210</v>
      </c>
      <c r="B213" s="4">
        <f>-PPMT('Owner Occupier'!$D$41/12,'FHA Amotization'!$A213,360,'Owner Occupier'!$D$40,0,0)</f>
        <v>1130.0767521780367</v>
      </c>
      <c r="C213" s="4">
        <f>-IPMT('Owner Occupier'!$D$41/12,'FHA Amotization'!$A213,360,'Owner Occupier'!$D$40,0,0)</f>
        <v>797.24707488278284</v>
      </c>
      <c r="D213" s="4">
        <f t="shared" si="9"/>
        <v>1927.3238270608194</v>
      </c>
      <c r="E213" s="3">
        <f t="shared" si="10"/>
        <v>223974.97968531368</v>
      </c>
      <c r="F213" s="4">
        <f>('Owner Occupier'!$H$24-'Owner Occupier'!$D$52)/('Owner Occupier'!$D$56-'Owner Occupier'!$D$52)*B213</f>
        <v>525.90202369792416</v>
      </c>
      <c r="G213" s="4">
        <f t="shared" si="11"/>
        <v>78091.318723075543</v>
      </c>
    </row>
    <row r="214" spans="1:7">
      <c r="A214">
        <v>211</v>
      </c>
      <c r="B214" s="4">
        <f>-PPMT('Owner Occupier'!$D$41/12,'FHA Amotization'!$A214,360,'Owner Occupier'!$D$40,0,0)</f>
        <v>1134.0791073420005</v>
      </c>
      <c r="C214" s="4">
        <f>-IPMT('Owner Occupier'!$D$41/12,'FHA Amotization'!$A214,360,'Owner Occupier'!$D$40,0,0)</f>
        <v>793.24471971881883</v>
      </c>
      <c r="D214" s="4">
        <f t="shared" si="9"/>
        <v>1927.3238270608194</v>
      </c>
      <c r="E214" s="3">
        <f t="shared" si="10"/>
        <v>222840.90057797168</v>
      </c>
      <c r="F214" s="4">
        <f>('Owner Occupier'!$H$24-'Owner Occupier'!$D$52)/('Owner Occupier'!$D$56-'Owner Occupier'!$D$52)*B214</f>
        <v>527.76459336518758</v>
      </c>
      <c r="G214" s="4">
        <f t="shared" si="11"/>
        <v>78619.083316440738</v>
      </c>
    </row>
    <row r="215" spans="1:7">
      <c r="A215">
        <v>212</v>
      </c>
      <c r="B215" s="4">
        <f>-PPMT('Owner Occupier'!$D$41/12,'FHA Amotization'!$A215,360,'Owner Occupier'!$D$40,0,0)</f>
        <v>1138.0956375138371</v>
      </c>
      <c r="C215" s="4">
        <f>-IPMT('Owner Occupier'!$D$41/12,'FHA Amotization'!$A215,360,'Owner Occupier'!$D$40,0,0)</f>
        <v>789.22818954698289</v>
      </c>
      <c r="D215" s="4">
        <f t="shared" si="9"/>
        <v>1927.3238270608199</v>
      </c>
      <c r="E215" s="3">
        <f t="shared" si="10"/>
        <v>221702.80494045783</v>
      </c>
      <c r="F215" s="4">
        <f>('Owner Occupier'!$H$24-'Owner Occupier'!$D$52)/('Owner Occupier'!$D$56-'Owner Occupier'!$D$52)*B215</f>
        <v>529.63375963335614</v>
      </c>
      <c r="G215" s="4">
        <f t="shared" si="11"/>
        <v>79148.717076074099</v>
      </c>
    </row>
    <row r="216" spans="1:7">
      <c r="A216">
        <v>213</v>
      </c>
      <c r="B216" s="4">
        <f>-PPMT('Owner Occupier'!$D$41/12,'FHA Amotization'!$A216,360,'Owner Occupier'!$D$40,0,0)</f>
        <v>1142.1263928966985</v>
      </c>
      <c r="C216" s="4">
        <f>-IPMT('Owner Occupier'!$D$41/12,'FHA Amotization'!$A216,360,'Owner Occupier'!$D$40,0,0)</f>
        <v>785.19743416412109</v>
      </c>
      <c r="D216" s="4">
        <f t="shared" si="9"/>
        <v>1927.3238270608194</v>
      </c>
      <c r="E216" s="3">
        <f t="shared" si="10"/>
        <v>220560.67854756114</v>
      </c>
      <c r="F216" s="4">
        <f>('Owner Occupier'!$H$24-'Owner Occupier'!$D$52)/('Owner Occupier'!$D$56-'Owner Occupier'!$D$52)*B216</f>
        <v>531.50954586539092</v>
      </c>
      <c r="G216" s="4">
        <f t="shared" si="11"/>
        <v>79680.226621939495</v>
      </c>
    </row>
    <row r="217" spans="1:7">
      <c r="A217">
        <v>214</v>
      </c>
      <c r="B217" s="4">
        <f>-PPMT('Owner Occupier'!$D$41/12,'FHA Amotization'!$A217,360,'Owner Occupier'!$D$40,0,0)</f>
        <v>1146.1714238715408</v>
      </c>
      <c r="C217" s="4">
        <f>-IPMT('Owner Occupier'!$D$41/12,'FHA Amotization'!$A217,360,'Owner Occupier'!$D$40,0,0)</f>
        <v>781.15240318927863</v>
      </c>
      <c r="D217" s="4">
        <f t="shared" si="9"/>
        <v>1927.3238270608194</v>
      </c>
      <c r="E217" s="3">
        <f t="shared" si="10"/>
        <v>219414.5071236896</v>
      </c>
      <c r="F217" s="4">
        <f>('Owner Occupier'!$H$24-'Owner Occupier'!$D$52)/('Owner Occupier'!$D$56-'Owner Occupier'!$D$52)*B217</f>
        <v>533.39197550699737</v>
      </c>
      <c r="G217" s="4">
        <f t="shared" si="11"/>
        <v>80213.61859744649</v>
      </c>
    </row>
    <row r="218" spans="1:7">
      <c r="A218">
        <v>215</v>
      </c>
      <c r="B218" s="4">
        <f>-PPMT('Owner Occupier'!$D$41/12,'FHA Amotization'!$A218,360,'Owner Occupier'!$D$40,0,0)</f>
        <v>1150.2307809977524</v>
      </c>
      <c r="C218" s="4">
        <f>-IPMT('Owner Occupier'!$D$41/12,'FHA Amotization'!$A218,360,'Owner Occupier'!$D$40,0,0)</f>
        <v>777.09304606306705</v>
      </c>
      <c r="D218" s="4">
        <f t="shared" si="9"/>
        <v>1927.3238270608194</v>
      </c>
      <c r="E218" s="3">
        <f t="shared" si="10"/>
        <v>218264.27634269185</v>
      </c>
      <c r="F218" s="4">
        <f>('Owner Occupier'!$H$24-'Owner Occupier'!$D$52)/('Owner Occupier'!$D$56-'Owner Occupier'!$D$52)*B218</f>
        <v>535.28107208691802</v>
      </c>
      <c r="G218" s="4">
        <f t="shared" si="11"/>
        <v>80748.899669533406</v>
      </c>
    </row>
    <row r="219" spans="1:7">
      <c r="A219">
        <v>216</v>
      </c>
      <c r="B219" s="4">
        <f>-PPMT('Owner Occupier'!$D$41/12,'FHA Amotization'!$A219,360,'Owner Occupier'!$D$40,0,0)</f>
        <v>1154.3045150137864</v>
      </c>
      <c r="C219" s="4">
        <f>-IPMT('Owner Occupier'!$D$41/12,'FHA Amotization'!$A219,360,'Owner Occupier'!$D$40,0,0)</f>
        <v>773.0193120470334</v>
      </c>
      <c r="D219" s="4">
        <f t="shared" si="9"/>
        <v>1927.3238270608199</v>
      </c>
      <c r="E219" s="3">
        <f t="shared" si="10"/>
        <v>217109.97182767806</v>
      </c>
      <c r="F219" s="4">
        <f>('Owner Occupier'!$H$24-'Owner Occupier'!$D$52)/('Owner Occupier'!$D$56-'Owner Occupier'!$D$52)*B219</f>
        <v>537.17685921722591</v>
      </c>
      <c r="G219" s="4">
        <f t="shared" si="11"/>
        <v>81286.076528750636</v>
      </c>
    </row>
    <row r="220" spans="1:7">
      <c r="A220">
        <v>217</v>
      </c>
      <c r="B220" s="4">
        <f>-PPMT('Owner Occupier'!$D$41/12,'FHA Amotization'!$A220,360,'Owner Occupier'!$D$40,0,0)</f>
        <v>1158.3926768377935</v>
      </c>
      <c r="C220" s="4">
        <f>-IPMT('Owner Occupier'!$D$41/12,'FHA Amotization'!$A220,360,'Owner Occupier'!$D$40,0,0)</f>
        <v>768.93115022302607</v>
      </c>
      <c r="D220" s="4">
        <f t="shared" si="9"/>
        <v>1927.3238270608194</v>
      </c>
      <c r="E220" s="3">
        <f t="shared" si="10"/>
        <v>215951.57915084026</v>
      </c>
      <c r="F220" s="4">
        <f>('Owner Occupier'!$H$24-'Owner Occupier'!$D$52)/('Owner Occupier'!$D$56-'Owner Occupier'!$D$52)*B220</f>
        <v>539.07936059362021</v>
      </c>
      <c r="G220" s="4">
        <f t="shared" si="11"/>
        <v>81825.155889344256</v>
      </c>
    </row>
    <row r="221" spans="1:7">
      <c r="A221">
        <v>218</v>
      </c>
      <c r="B221" s="4">
        <f>-PPMT('Owner Occupier'!$D$41/12,'FHA Amotization'!$A221,360,'Owner Occupier'!$D$40,0,0)</f>
        <v>1162.4953175682606</v>
      </c>
      <c r="C221" s="4">
        <f>-IPMT('Owner Occupier'!$D$41/12,'FHA Amotization'!$A221,360,'Owner Occupier'!$D$40,0,0)</f>
        <v>764.82850949255885</v>
      </c>
      <c r="D221" s="4">
        <f t="shared" si="9"/>
        <v>1927.3238270608194</v>
      </c>
      <c r="E221" s="3">
        <f t="shared" si="10"/>
        <v>214789.08383327199</v>
      </c>
      <c r="F221" s="4">
        <f>('Owner Occupier'!$H$24-'Owner Occupier'!$D$52)/('Owner Occupier'!$D$56-'Owner Occupier'!$D$52)*B221</f>
        <v>540.98859999572267</v>
      </c>
      <c r="G221" s="4">
        <f t="shared" si="11"/>
        <v>82366.144489339975</v>
      </c>
    </row>
    <row r="222" spans="1:7">
      <c r="A222">
        <v>219</v>
      </c>
      <c r="B222" s="4">
        <f>-PPMT('Owner Occupier'!$D$41/12,'FHA Amotization'!$A222,360,'Owner Occupier'!$D$40,0,0)</f>
        <v>1166.6124884846481</v>
      </c>
      <c r="C222" s="4">
        <f>-IPMT('Owner Occupier'!$D$41/12,'FHA Amotization'!$A222,360,'Owner Occupier'!$D$40,0,0)</f>
        <v>760.71133857617144</v>
      </c>
      <c r="D222" s="4">
        <f t="shared" si="9"/>
        <v>1927.3238270608194</v>
      </c>
      <c r="E222" s="3">
        <f t="shared" si="10"/>
        <v>213622.47134478734</v>
      </c>
      <c r="F222" s="4">
        <f>('Owner Occupier'!$H$24-'Owner Occupier'!$D$52)/('Owner Occupier'!$D$56-'Owner Occupier'!$D$52)*B222</f>
        <v>542.90460128737413</v>
      </c>
      <c r="G222" s="4">
        <f t="shared" si="11"/>
        <v>82909.049090627348</v>
      </c>
    </row>
    <row r="223" spans="1:7">
      <c r="A223">
        <v>220</v>
      </c>
      <c r="B223" s="4">
        <f>-PPMT('Owner Occupier'!$D$41/12,'FHA Amotization'!$A223,360,'Owner Occupier'!$D$40,0,0)</f>
        <v>1170.7442410480314</v>
      </c>
      <c r="C223" s="4">
        <f>-IPMT('Owner Occupier'!$D$41/12,'FHA Amotization'!$A223,360,'Owner Occupier'!$D$40,0,0)</f>
        <v>756.57958601278824</v>
      </c>
      <c r="D223" s="4">
        <f t="shared" si="9"/>
        <v>1927.3238270608197</v>
      </c>
      <c r="E223" s="3">
        <f t="shared" si="10"/>
        <v>212451.72710373931</v>
      </c>
      <c r="F223" s="4">
        <f>('Owner Occupier'!$H$24-'Owner Occupier'!$D$52)/('Owner Occupier'!$D$56-'Owner Occupier'!$D$52)*B223</f>
        <v>544.82738841693367</v>
      </c>
      <c r="G223" s="4">
        <f t="shared" si="11"/>
        <v>83453.87647904428</v>
      </c>
    </row>
    <row r="224" spans="1:7">
      <c r="A224">
        <v>221</v>
      </c>
      <c r="B224" s="4">
        <f>-PPMT('Owner Occupier'!$D$41/12,'FHA Amotization'!$A224,360,'Owner Occupier'!$D$40,0,0)</f>
        <v>1174.8906269017432</v>
      </c>
      <c r="C224" s="4">
        <f>-IPMT('Owner Occupier'!$D$41/12,'FHA Amotization'!$A224,360,'Owner Occupier'!$D$40,0,0)</f>
        <v>752.43320015907648</v>
      </c>
      <c r="D224" s="4">
        <f t="shared" si="9"/>
        <v>1927.3238270608197</v>
      </c>
      <c r="E224" s="3">
        <f t="shared" si="10"/>
        <v>211276.83647683758</v>
      </c>
      <c r="F224" s="4">
        <f>('Owner Occupier'!$H$24-'Owner Occupier'!$D$52)/('Owner Occupier'!$D$56-'Owner Occupier'!$D$52)*B224</f>
        <v>546.75698541757697</v>
      </c>
      <c r="G224" s="4">
        <f t="shared" si="11"/>
        <v>84000.633464461862</v>
      </c>
    </row>
    <row r="225" spans="1:7">
      <c r="A225">
        <v>222</v>
      </c>
      <c r="B225" s="4">
        <f>-PPMT('Owner Occupier'!$D$41/12,'FHA Amotization'!$A225,360,'Owner Occupier'!$D$40,0,0)</f>
        <v>1179.0516978720202</v>
      </c>
      <c r="C225" s="4">
        <f>-IPMT('Owner Occupier'!$D$41/12,'FHA Amotization'!$A225,360,'Owner Occupier'!$D$40,0,0)</f>
        <v>748.27212918879945</v>
      </c>
      <c r="D225" s="4">
        <f t="shared" si="9"/>
        <v>1927.3238270608197</v>
      </c>
      <c r="E225" s="3">
        <f t="shared" si="10"/>
        <v>210097.78477896555</v>
      </c>
      <c r="F225" s="4">
        <f>('Owner Occupier'!$H$24-'Owner Occupier'!$D$52)/('Owner Occupier'!$D$56-'Owner Occupier'!$D$52)*B225</f>
        <v>548.69341640759751</v>
      </c>
      <c r="G225" s="4">
        <f t="shared" si="11"/>
        <v>84549.326880869456</v>
      </c>
    </row>
    <row r="226" spans="1:7">
      <c r="A226">
        <v>223</v>
      </c>
      <c r="B226" s="4">
        <f>-PPMT('Owner Occupier'!$D$41/12,'FHA Amotization'!$A226,360,'Owner Occupier'!$D$40,0,0)</f>
        <v>1183.2275059686503</v>
      </c>
      <c r="C226" s="4">
        <f>-IPMT('Owner Occupier'!$D$41/12,'FHA Amotization'!$A226,360,'Owner Occupier'!$D$40,0,0)</f>
        <v>744.09632109216943</v>
      </c>
      <c r="D226" s="4">
        <f t="shared" si="9"/>
        <v>1927.3238270608199</v>
      </c>
      <c r="E226" s="3">
        <f t="shared" si="10"/>
        <v>208914.5572729969</v>
      </c>
      <c r="F226" s="4">
        <f>('Owner Occupier'!$H$24-'Owner Occupier'!$D$52)/('Owner Occupier'!$D$56-'Owner Occupier'!$D$52)*B226</f>
        <v>550.63670559070783</v>
      </c>
      <c r="G226" s="4">
        <f t="shared" si="11"/>
        <v>85099.963586460159</v>
      </c>
    </row>
    <row r="227" spans="1:7">
      <c r="A227">
        <v>224</v>
      </c>
      <c r="B227" s="4">
        <f>-PPMT('Owner Occupier'!$D$41/12,'FHA Amotization'!$A227,360,'Owner Occupier'!$D$40,0,0)</f>
        <v>1187.4181033856225</v>
      </c>
      <c r="C227" s="4">
        <f>-IPMT('Owner Occupier'!$D$41/12,'FHA Amotization'!$A227,360,'Owner Occupier'!$D$40,0,0)</f>
        <v>739.90572367519712</v>
      </c>
      <c r="D227" s="4">
        <f t="shared" si="9"/>
        <v>1927.3238270608197</v>
      </c>
      <c r="E227" s="3">
        <f t="shared" si="10"/>
        <v>207727.13916961127</v>
      </c>
      <c r="F227" s="4">
        <f>('Owner Occupier'!$H$24-'Owner Occupier'!$D$52)/('Owner Occupier'!$D$56-'Owner Occupier'!$D$52)*B227</f>
        <v>552.5868772563415</v>
      </c>
      <c r="G227" s="4">
        <f t="shared" si="11"/>
        <v>85652.5504637165</v>
      </c>
    </row>
    <row r="228" spans="1:7">
      <c r="A228">
        <v>225</v>
      </c>
      <c r="B228" s="4">
        <f>-PPMT('Owner Occupier'!$D$41/12,'FHA Amotization'!$A228,360,'Owner Occupier'!$D$40,0,0)</f>
        <v>1191.6235425017799</v>
      </c>
      <c r="C228" s="4">
        <f>-IPMT('Owner Occupier'!$D$41/12,'FHA Amotization'!$A228,360,'Owner Occupier'!$D$40,0,0)</f>
        <v>735.70028455903969</v>
      </c>
      <c r="D228" s="4">
        <f t="shared" si="9"/>
        <v>1927.3238270608194</v>
      </c>
      <c r="E228" s="3">
        <f t="shared" si="10"/>
        <v>206535.5156271095</v>
      </c>
      <c r="F228" s="4">
        <f>('Owner Occupier'!$H$24-'Owner Occupier'!$D$52)/('Owner Occupier'!$D$56-'Owner Occupier'!$D$52)*B228</f>
        <v>554.54395577995763</v>
      </c>
      <c r="G228" s="4">
        <f t="shared" si="11"/>
        <v>86207.094419496454</v>
      </c>
    </row>
    <row r="229" spans="1:7">
      <c r="A229">
        <v>226</v>
      </c>
      <c r="B229" s="4">
        <f>-PPMT('Owner Occupier'!$D$41/12,'FHA Amotization'!$A229,360,'Owner Occupier'!$D$40,0,0)</f>
        <v>1195.8438758814739</v>
      </c>
      <c r="C229" s="4">
        <f>-IPMT('Owner Occupier'!$D$41/12,'FHA Amotization'!$A229,360,'Owner Occupier'!$D$40,0,0)</f>
        <v>731.47995117934579</v>
      </c>
      <c r="D229" s="4">
        <f t="shared" si="9"/>
        <v>1927.3238270608197</v>
      </c>
      <c r="E229" s="3">
        <f t="shared" si="10"/>
        <v>205339.67175122802</v>
      </c>
      <c r="F229" s="4">
        <f>('Owner Occupier'!$H$24-'Owner Occupier'!$D$52)/('Owner Occupier'!$D$56-'Owner Occupier'!$D$52)*B229</f>
        <v>556.50796562334517</v>
      </c>
      <c r="G229" s="4">
        <f t="shared" si="11"/>
        <v>86763.602385119797</v>
      </c>
    </row>
    <row r="230" spans="1:7">
      <c r="A230">
        <v>227</v>
      </c>
      <c r="B230" s="4">
        <f>-PPMT('Owner Occupier'!$D$41/12,'FHA Amotization'!$A230,360,'Owner Occupier'!$D$40,0,0)</f>
        <v>1200.0791562752208</v>
      </c>
      <c r="C230" s="4">
        <f>-IPMT('Owner Occupier'!$D$41/12,'FHA Amotization'!$A230,360,'Owner Occupier'!$D$40,0,0)</f>
        <v>727.24467078559894</v>
      </c>
      <c r="D230" s="4">
        <f t="shared" si="9"/>
        <v>1927.3238270608199</v>
      </c>
      <c r="E230" s="3">
        <f t="shared" si="10"/>
        <v>204139.59259495279</v>
      </c>
      <c r="F230" s="4">
        <f>('Owner Occupier'!$H$24-'Owner Occupier'!$D$52)/('Owner Occupier'!$D$56-'Owner Occupier'!$D$52)*B230</f>
        <v>558.47893133492778</v>
      </c>
      <c r="G230" s="4">
        <f t="shared" si="11"/>
        <v>87322.081316454729</v>
      </c>
    </row>
    <row r="231" spans="1:7">
      <c r="A231">
        <v>228</v>
      </c>
      <c r="B231" s="4">
        <f>-PPMT('Owner Occupier'!$D$41/12,'FHA Amotization'!$A231,360,'Owner Occupier'!$D$40,0,0)</f>
        <v>1204.329436620362</v>
      </c>
      <c r="C231" s="4">
        <f>-IPMT('Owner Occupier'!$D$41/12,'FHA Amotization'!$A231,360,'Owner Occupier'!$D$40,0,0)</f>
        <v>722.99439044045755</v>
      </c>
      <c r="D231" s="4">
        <f t="shared" si="9"/>
        <v>1927.3238270608194</v>
      </c>
      <c r="E231" s="3">
        <f t="shared" si="10"/>
        <v>202935.26315833244</v>
      </c>
      <c r="F231" s="4">
        <f>('Owner Occupier'!$H$24-'Owner Occupier'!$D$52)/('Owner Occupier'!$D$56-'Owner Occupier'!$D$52)*B231</f>
        <v>560.45687755007225</v>
      </c>
      <c r="G231" s="4">
        <f t="shared" si="11"/>
        <v>87882.538194004796</v>
      </c>
    </row>
    <row r="232" spans="1:7">
      <c r="A232">
        <v>229</v>
      </c>
      <c r="B232" s="4">
        <f>-PPMT('Owner Occupier'!$D$41/12,'FHA Amotization'!$A232,360,'Owner Occupier'!$D$40,0,0)</f>
        <v>1208.594770041726</v>
      </c>
      <c r="C232" s="4">
        <f>-IPMT('Owner Occupier'!$D$41/12,'FHA Amotization'!$A232,360,'Owner Occupier'!$D$40,0,0)</f>
        <v>718.72905701909383</v>
      </c>
      <c r="D232" s="4">
        <f t="shared" si="9"/>
        <v>1927.3238270608199</v>
      </c>
      <c r="E232" s="3">
        <f t="shared" si="10"/>
        <v>201726.66838829071</v>
      </c>
      <c r="F232" s="4">
        <f>('Owner Occupier'!$H$24-'Owner Occupier'!$D$52)/('Owner Occupier'!$D$56-'Owner Occupier'!$D$52)*B232</f>
        <v>562.44182899139548</v>
      </c>
      <c r="G232" s="4">
        <f t="shared" si="11"/>
        <v>88444.980022996184</v>
      </c>
    </row>
    <row r="233" spans="1:7">
      <c r="A233">
        <v>230</v>
      </c>
      <c r="B233" s="4">
        <f>-PPMT('Owner Occupier'!$D$41/12,'FHA Amotization'!$A233,360,'Owner Occupier'!$D$40,0,0)</f>
        <v>1212.8752098522905</v>
      </c>
      <c r="C233" s="4">
        <f>-IPMT('Owner Occupier'!$D$41/12,'FHA Amotization'!$A233,360,'Owner Occupier'!$D$40,0,0)</f>
        <v>714.44861720852919</v>
      </c>
      <c r="D233" s="4">
        <f t="shared" si="9"/>
        <v>1927.3238270608197</v>
      </c>
      <c r="E233" s="3">
        <f t="shared" si="10"/>
        <v>200513.79317843841</v>
      </c>
      <c r="F233" s="4">
        <f>('Owner Occupier'!$H$24-'Owner Occupier'!$D$52)/('Owner Occupier'!$D$56-'Owner Occupier'!$D$52)*B233</f>
        <v>564.43381046907336</v>
      </c>
      <c r="G233" s="4">
        <f t="shared" si="11"/>
        <v>89009.413833465253</v>
      </c>
    </row>
    <row r="234" spans="1:7">
      <c r="A234">
        <v>231</v>
      </c>
      <c r="B234" s="4">
        <f>-PPMT('Owner Occupier'!$D$41/12,'FHA Amotization'!$A234,360,'Owner Occupier'!$D$40,0,0)</f>
        <v>1217.1708095538504</v>
      </c>
      <c r="C234" s="4">
        <f>-IPMT('Owner Occupier'!$D$41/12,'FHA Amotization'!$A234,360,'Owner Occupier'!$D$40,0,0)</f>
        <v>710.15301750696904</v>
      </c>
      <c r="D234" s="4">
        <f t="shared" si="9"/>
        <v>1927.3238270608194</v>
      </c>
      <c r="E234" s="3">
        <f t="shared" si="10"/>
        <v>199296.62236888456</v>
      </c>
      <c r="F234" s="4">
        <f>('Owner Occupier'!$H$24-'Owner Occupier'!$D$52)/('Owner Occupier'!$D$56-'Owner Occupier'!$D$52)*B234</f>
        <v>566.43284688115125</v>
      </c>
      <c r="G234" s="4">
        <f t="shared" si="11"/>
        <v>89575.846680346411</v>
      </c>
    </row>
    <row r="235" spans="1:7">
      <c r="A235">
        <v>232</v>
      </c>
      <c r="B235" s="4">
        <f>-PPMT('Owner Occupier'!$D$41/12,'FHA Amotization'!$A235,360,'Owner Occupier'!$D$40,0,0)</f>
        <v>1221.4816228376872</v>
      </c>
      <c r="C235" s="4">
        <f>-IPMT('Owner Occupier'!$D$41/12,'FHA Amotization'!$A235,360,'Owner Occupier'!$D$40,0,0)</f>
        <v>705.84220422313263</v>
      </c>
      <c r="D235" s="4">
        <f t="shared" si="9"/>
        <v>1927.3238270608199</v>
      </c>
      <c r="E235" s="3">
        <f t="shared" si="10"/>
        <v>198075.14074604688</v>
      </c>
      <c r="F235" s="4">
        <f>('Owner Occupier'!$H$24-'Owner Occupier'!$D$52)/('Owner Occupier'!$D$56-'Owner Occupier'!$D$52)*B235</f>
        <v>568.43896321385546</v>
      </c>
      <c r="G235" s="4">
        <f t="shared" si="11"/>
        <v>90144.285643560259</v>
      </c>
    </row>
    <row r="236" spans="1:7">
      <c r="A236">
        <v>233</v>
      </c>
      <c r="B236" s="4">
        <f>-PPMT('Owner Occupier'!$D$41/12,'FHA Amotization'!$A236,360,'Owner Occupier'!$D$40,0,0)</f>
        <v>1225.8077035852373</v>
      </c>
      <c r="C236" s="4">
        <f>-IPMT('Owner Occupier'!$D$41/12,'FHA Amotization'!$A236,360,'Owner Occupier'!$D$40,0,0)</f>
        <v>701.51612347558239</v>
      </c>
      <c r="D236" s="4">
        <f t="shared" si="9"/>
        <v>1927.3238270608197</v>
      </c>
      <c r="E236" s="3">
        <f t="shared" si="10"/>
        <v>196849.33304246163</v>
      </c>
      <c r="F236" s="4">
        <f>('Owner Occupier'!$H$24-'Owner Occupier'!$D$52)/('Owner Occupier'!$D$56-'Owner Occupier'!$D$52)*B236</f>
        <v>570.45218454190444</v>
      </c>
      <c r="G236" s="4">
        <f t="shared" si="11"/>
        <v>90714.737828102167</v>
      </c>
    </row>
    <row r="237" spans="1:7">
      <c r="A237">
        <v>234</v>
      </c>
      <c r="B237" s="4">
        <f>-PPMT('Owner Occupier'!$D$41/12,'FHA Amotization'!$A237,360,'Owner Occupier'!$D$40,0,0)</f>
        <v>1230.1491058687682</v>
      </c>
      <c r="C237" s="4">
        <f>-IPMT('Owner Occupier'!$D$41/12,'FHA Amotization'!$A237,360,'Owner Occupier'!$D$40,0,0)</f>
        <v>697.17472119205138</v>
      </c>
      <c r="D237" s="4">
        <f t="shared" si="9"/>
        <v>1927.3238270608194</v>
      </c>
      <c r="E237" s="3">
        <f t="shared" si="10"/>
        <v>195619.18393659286</v>
      </c>
      <c r="F237" s="4">
        <f>('Owner Occupier'!$H$24-'Owner Occupier'!$D$52)/('Owner Occupier'!$D$56-'Owner Occupier'!$D$52)*B237</f>
        <v>572.4725360288237</v>
      </c>
      <c r="G237" s="4">
        <f t="shared" si="11"/>
        <v>91287.210364130995</v>
      </c>
    </row>
    <row r="238" spans="1:7">
      <c r="A238">
        <v>235</v>
      </c>
      <c r="B238" s="4">
        <f>-PPMT('Owner Occupier'!$D$41/12,'FHA Amotization'!$A238,360,'Owner Occupier'!$D$40,0,0)</f>
        <v>1234.5058839520534</v>
      </c>
      <c r="C238" s="4">
        <f>-IPMT('Owner Occupier'!$D$41/12,'FHA Amotization'!$A238,360,'Owner Occupier'!$D$40,0,0)</f>
        <v>692.81794310876626</v>
      </c>
      <c r="D238" s="4">
        <f t="shared" si="9"/>
        <v>1927.3238270608197</v>
      </c>
      <c r="E238" s="3">
        <f t="shared" si="10"/>
        <v>194384.67805264081</v>
      </c>
      <c r="F238" s="4">
        <f>('Owner Occupier'!$H$24-'Owner Occupier'!$D$52)/('Owner Occupier'!$D$56-'Owner Occupier'!$D$52)*B238</f>
        <v>574.50004292725907</v>
      </c>
      <c r="G238" s="4">
        <f t="shared" si="11"/>
        <v>91861.710407058257</v>
      </c>
    </row>
    <row r="239" spans="1:7">
      <c r="A239">
        <v>236</v>
      </c>
      <c r="B239" s="4">
        <f>-PPMT('Owner Occupier'!$D$41/12,'FHA Amotization'!$A239,360,'Owner Occupier'!$D$40,0,0)</f>
        <v>1238.8780922910503</v>
      </c>
      <c r="C239" s="4">
        <f>-IPMT('Owner Occupier'!$D$41/12,'FHA Amotization'!$A239,360,'Owner Occupier'!$D$40,0,0)</f>
        <v>688.44573476976927</v>
      </c>
      <c r="D239" s="4">
        <f t="shared" si="9"/>
        <v>1927.3238270608194</v>
      </c>
      <c r="E239" s="3">
        <f t="shared" si="10"/>
        <v>193145.79996034977</v>
      </c>
      <c r="F239" s="4">
        <f>('Owner Occupier'!$H$24-'Owner Occupier'!$D$52)/('Owner Occupier'!$D$56-'Owner Occupier'!$D$52)*B239</f>
        <v>576.53473057929307</v>
      </c>
      <c r="G239" s="4">
        <f t="shared" si="11"/>
        <v>92438.245137637554</v>
      </c>
    </row>
    <row r="240" spans="1:7">
      <c r="A240">
        <v>237</v>
      </c>
      <c r="B240" s="4">
        <f>-PPMT('Owner Occupier'!$D$41/12,'FHA Amotization'!$A240,360,'Owner Occupier'!$D$40,0,0)</f>
        <v>1243.265785534581</v>
      </c>
      <c r="C240" s="4">
        <f>-IPMT('Owner Occupier'!$D$41/12,'FHA Amotization'!$A240,360,'Owner Occupier'!$D$40,0,0)</f>
        <v>684.05804152623841</v>
      </c>
      <c r="D240" s="4">
        <f t="shared" si="9"/>
        <v>1927.3238270608194</v>
      </c>
      <c r="E240" s="3">
        <f t="shared" si="10"/>
        <v>191902.5341748152</v>
      </c>
      <c r="F240" s="4">
        <f>('Owner Occupier'!$H$24-'Owner Occupier'!$D$52)/('Owner Occupier'!$D$56-'Owner Occupier'!$D$52)*B240</f>
        <v>578.57662441676143</v>
      </c>
      <c r="G240" s="4">
        <f t="shared" si="11"/>
        <v>93016.821762054315</v>
      </c>
    </row>
    <row r="241" spans="1:7">
      <c r="A241">
        <v>238</v>
      </c>
      <c r="B241" s="4">
        <f>-PPMT('Owner Occupier'!$D$41/12,'FHA Amotization'!$A241,360,'Owner Occupier'!$D$40,0,0)</f>
        <v>1247.6690185250161</v>
      </c>
      <c r="C241" s="4">
        <f>-IPMT('Owner Occupier'!$D$41/12,'FHA Amotization'!$A241,360,'Owner Occupier'!$D$40,0,0)</f>
        <v>679.65480853580345</v>
      </c>
      <c r="D241" s="4">
        <f t="shared" si="9"/>
        <v>1927.3238270608194</v>
      </c>
      <c r="E241" s="3">
        <f t="shared" si="10"/>
        <v>190654.86515629018</v>
      </c>
      <c r="F241" s="4">
        <f>('Owner Occupier'!$H$24-'Owner Occupier'!$D$52)/('Owner Occupier'!$D$56-'Owner Occupier'!$D$52)*B241</f>
        <v>580.62574996157082</v>
      </c>
      <c r="G241" s="4">
        <f t="shared" si="11"/>
        <v>93597.44751201589</v>
      </c>
    </row>
    <row r="242" spans="1:7">
      <c r="A242">
        <v>239</v>
      </c>
      <c r="B242" s="4">
        <f>-PPMT('Owner Occupier'!$D$41/12,'FHA Amotization'!$A242,360,'Owner Occupier'!$D$40,0,0)</f>
        <v>1252.0878462989588</v>
      </c>
      <c r="C242" s="4">
        <f>-IPMT('Owner Occupier'!$D$41/12,'FHA Amotization'!$A242,360,'Owner Occupier'!$D$40,0,0)</f>
        <v>675.23598076186079</v>
      </c>
      <c r="D242" s="4">
        <f t="shared" si="9"/>
        <v>1927.3238270608194</v>
      </c>
      <c r="E242" s="3">
        <f t="shared" si="10"/>
        <v>189402.77730999122</v>
      </c>
      <c r="F242" s="4">
        <f>('Owner Occupier'!$H$24-'Owner Occupier'!$D$52)/('Owner Occupier'!$D$56-'Owner Occupier'!$D$52)*B242</f>
        <v>582.68213282601801</v>
      </c>
      <c r="G242" s="4">
        <f t="shared" si="11"/>
        <v>94180.129644841902</v>
      </c>
    </row>
    <row r="243" spans="1:7">
      <c r="A243">
        <v>240</v>
      </c>
      <c r="B243" s="4">
        <f>-PPMT('Owner Occupier'!$D$41/12,'FHA Amotization'!$A243,360,'Owner Occupier'!$D$40,0,0)</f>
        <v>1256.5223240879343</v>
      </c>
      <c r="C243" s="4">
        <f>-IPMT('Owner Occupier'!$D$41/12,'FHA Amotization'!$A243,360,'Owner Occupier'!$D$40,0,0)</f>
        <v>670.80150297288526</v>
      </c>
      <c r="D243" s="4">
        <f t="shared" si="9"/>
        <v>1927.3238270608194</v>
      </c>
      <c r="E243" s="3">
        <f t="shared" si="10"/>
        <v>188146.25498590327</v>
      </c>
      <c r="F243" s="4">
        <f>('Owner Occupier'!$H$24-'Owner Occupier'!$D$52)/('Owner Occupier'!$D$56-'Owner Occupier'!$D$52)*B243</f>
        <v>584.74579871311016</v>
      </c>
      <c r="G243" s="4">
        <f t="shared" si="11"/>
        <v>94764.875443555007</v>
      </c>
    </row>
    <row r="244" spans="1:7">
      <c r="A244">
        <v>241</v>
      </c>
      <c r="B244" s="4">
        <f>-PPMT('Owner Occupier'!$D$41/12,'FHA Amotization'!$A244,360,'Owner Occupier'!$D$40,0,0)</f>
        <v>1260.9725073190789</v>
      </c>
      <c r="C244" s="4">
        <f>-IPMT('Owner Occupier'!$D$41/12,'FHA Amotization'!$A244,360,'Owner Occupier'!$D$40,0,0)</f>
        <v>666.35131974174055</v>
      </c>
      <c r="D244" s="4">
        <f t="shared" si="9"/>
        <v>1927.3238270608194</v>
      </c>
      <c r="E244" s="3">
        <f t="shared" si="10"/>
        <v>186885.28247858418</v>
      </c>
      <c r="F244" s="4">
        <f>('Owner Occupier'!$H$24-'Owner Occupier'!$D$52)/('Owner Occupier'!$D$56-'Owner Occupier'!$D$52)*B244</f>
        <v>586.81677341688567</v>
      </c>
      <c r="G244" s="4">
        <f t="shared" si="11"/>
        <v>95351.692216971889</v>
      </c>
    </row>
    <row r="245" spans="1:7">
      <c r="A245">
        <v>242</v>
      </c>
      <c r="B245" s="4">
        <f>-PPMT('Owner Occupier'!$D$41/12,'FHA Amotization'!$A245,360,'Owner Occupier'!$D$40,0,0)</f>
        <v>1265.4384516158343</v>
      </c>
      <c r="C245" s="4">
        <f>-IPMT('Owner Occupier'!$D$41/12,'FHA Amotization'!$A245,360,'Owner Occupier'!$D$40,0,0)</f>
        <v>661.88537544498547</v>
      </c>
      <c r="D245" s="4">
        <f t="shared" si="9"/>
        <v>1927.3238270608199</v>
      </c>
      <c r="E245" s="3">
        <f t="shared" si="10"/>
        <v>185619.84402696835</v>
      </c>
      <c r="F245" s="4">
        <f>('Owner Occupier'!$H$24-'Owner Occupier'!$D$52)/('Owner Occupier'!$D$56-'Owner Occupier'!$D$52)*B245</f>
        <v>588.89508282273732</v>
      </c>
      <c r="G245" s="4">
        <f t="shared" si="11"/>
        <v>95940.587299794628</v>
      </c>
    </row>
    <row r="246" spans="1:7">
      <c r="A246">
        <v>243</v>
      </c>
      <c r="B246" s="4">
        <f>-PPMT('Owner Occupier'!$D$41/12,'FHA Amotization'!$A246,360,'Owner Occupier'!$D$40,0,0)</f>
        <v>1269.9202127986403</v>
      </c>
      <c r="C246" s="4">
        <f>-IPMT('Owner Occupier'!$D$41/12,'FHA Amotization'!$A246,360,'Owner Occupier'!$D$40,0,0)</f>
        <v>657.4036142621793</v>
      </c>
      <c r="D246" s="4">
        <f t="shared" si="9"/>
        <v>1927.3238270608194</v>
      </c>
      <c r="E246" s="3">
        <f t="shared" si="10"/>
        <v>184349.92381416971</v>
      </c>
      <c r="F246" s="4">
        <f>('Owner Occupier'!$H$24-'Owner Occupier'!$D$52)/('Owner Occupier'!$D$56-'Owner Occupier'!$D$52)*B246</f>
        <v>590.98075290773443</v>
      </c>
      <c r="G246" s="4">
        <f t="shared" si="11"/>
        <v>96531.568052702365</v>
      </c>
    </row>
    <row r="247" spans="1:7">
      <c r="A247">
        <v>244</v>
      </c>
      <c r="B247" s="4">
        <f>-PPMT('Owner Occupier'!$D$41/12,'FHA Amotization'!$A247,360,'Owner Occupier'!$D$40,0,0)</f>
        <v>1274.4178468856353</v>
      </c>
      <c r="C247" s="4">
        <f>-IPMT('Owner Occupier'!$D$41/12,'FHA Amotization'!$A247,360,'Owner Occupier'!$D$40,0,0)</f>
        <v>652.90598017518414</v>
      </c>
      <c r="D247" s="4">
        <f t="shared" si="9"/>
        <v>1927.3238270608194</v>
      </c>
      <c r="E247" s="3">
        <f t="shared" si="10"/>
        <v>183075.50596728409</v>
      </c>
      <c r="F247" s="4">
        <f>('Owner Occupier'!$H$24-'Owner Occupier'!$D$52)/('Owner Occupier'!$D$56-'Owner Occupier'!$D$52)*B247</f>
        <v>593.07380974094929</v>
      </c>
      <c r="G247" s="4">
        <f t="shared" si="11"/>
        <v>97124.641862443314</v>
      </c>
    </row>
    <row r="248" spans="1:7">
      <c r="A248">
        <v>245</v>
      </c>
      <c r="B248" s="4">
        <f>-PPMT('Owner Occupier'!$D$41/12,'FHA Amotization'!$A248,360,'Owner Occupier'!$D$40,0,0)</f>
        <v>1278.9314100933552</v>
      </c>
      <c r="C248" s="4">
        <f>-IPMT('Owner Occupier'!$D$41/12,'FHA Amotization'!$A248,360,'Owner Occupier'!$D$40,0,0)</f>
        <v>648.39241696746421</v>
      </c>
      <c r="D248" s="4">
        <f t="shared" si="9"/>
        <v>1927.3238270608194</v>
      </c>
      <c r="E248" s="3">
        <f t="shared" si="10"/>
        <v>181796.57455719073</v>
      </c>
      <c r="F248" s="4">
        <f>('Owner Occupier'!$H$24-'Owner Occupier'!$D$52)/('Owner Occupier'!$D$56-'Owner Occupier'!$D$52)*B248</f>
        <v>595.17427948378179</v>
      </c>
      <c r="G248" s="4">
        <f t="shared" si="11"/>
        <v>97719.816141927091</v>
      </c>
    </row>
    <row r="249" spans="1:7">
      <c r="A249">
        <v>246</v>
      </c>
      <c r="B249" s="4">
        <f>-PPMT('Owner Occupier'!$D$41/12,'FHA Amotization'!$A249,360,'Owner Occupier'!$D$40,0,0)</f>
        <v>1283.4609588374358</v>
      </c>
      <c r="C249" s="4">
        <f>-IPMT('Owner Occupier'!$D$41/12,'FHA Amotization'!$A249,360,'Owner Occupier'!$D$40,0,0)</f>
        <v>643.86286822338354</v>
      </c>
      <c r="D249" s="4">
        <f t="shared" si="9"/>
        <v>1927.3238270608194</v>
      </c>
      <c r="E249" s="3">
        <f t="shared" si="10"/>
        <v>180513.11359835329</v>
      </c>
      <c r="F249" s="4">
        <f>('Owner Occupier'!$H$24-'Owner Occupier'!$D$52)/('Owner Occupier'!$D$56-'Owner Occupier'!$D$52)*B249</f>
        <v>597.28218839028682</v>
      </c>
      <c r="G249" s="4">
        <f t="shared" si="11"/>
        <v>98317.098330317371</v>
      </c>
    </row>
    <row r="250" spans="1:7">
      <c r="A250">
        <v>247</v>
      </c>
      <c r="B250" s="4">
        <f>-PPMT('Owner Occupier'!$D$41/12,'FHA Amotization'!$A250,360,'Owner Occupier'!$D$40,0,0)</f>
        <v>1288.0065497333185</v>
      </c>
      <c r="C250" s="4">
        <f>-IPMT('Owner Occupier'!$D$41/12,'FHA Amotization'!$A250,360,'Owner Occupier'!$D$40,0,0)</f>
        <v>639.31727732750107</v>
      </c>
      <c r="D250" s="4">
        <f t="shared" si="9"/>
        <v>1927.3238270608194</v>
      </c>
      <c r="E250" s="3">
        <f t="shared" si="10"/>
        <v>179225.10704861998</v>
      </c>
      <c r="F250" s="4">
        <f>('Owner Occupier'!$H$24-'Owner Occupier'!$D$52)/('Owner Occupier'!$D$56-'Owner Occupier'!$D$52)*B250</f>
        <v>599.39756280750248</v>
      </c>
      <c r="G250" s="4">
        <f t="shared" si="11"/>
        <v>98916.495893124869</v>
      </c>
    </row>
    <row r="251" spans="1:7">
      <c r="A251">
        <v>248</v>
      </c>
      <c r="B251" s="4">
        <f>-PPMT('Owner Occupier'!$D$41/12,'FHA Amotization'!$A251,360,'Owner Occupier'!$D$40,0,0)</f>
        <v>1292.5682395969575</v>
      </c>
      <c r="C251" s="4">
        <f>-IPMT('Owner Occupier'!$D$41/12,'FHA Amotization'!$A251,360,'Owner Occupier'!$D$40,0,0)</f>
        <v>634.75558746386218</v>
      </c>
      <c r="D251" s="4">
        <f t="shared" si="9"/>
        <v>1927.3238270608197</v>
      </c>
      <c r="E251" s="3">
        <f t="shared" si="10"/>
        <v>177932.53880902301</v>
      </c>
      <c r="F251" s="4">
        <f>('Owner Occupier'!$H$24-'Owner Occupier'!$D$52)/('Owner Occupier'!$D$56-'Owner Occupier'!$D$52)*B251</f>
        <v>601.5204291757791</v>
      </c>
      <c r="G251" s="4">
        <f t="shared" si="11"/>
        <v>99518.016322300653</v>
      </c>
    </row>
    <row r="252" spans="1:7">
      <c r="A252">
        <v>249</v>
      </c>
      <c r="B252" s="4">
        <f>-PPMT('Owner Occupier'!$D$41/12,'FHA Amotization'!$A252,360,'Owner Occupier'!$D$40,0,0)</f>
        <v>1297.1460854455299</v>
      </c>
      <c r="C252" s="4">
        <f>-IPMT('Owner Occupier'!$D$41/12,'FHA Amotization'!$A252,360,'Owner Occupier'!$D$40,0,0)</f>
        <v>630.17774161528962</v>
      </c>
      <c r="D252" s="4">
        <f t="shared" si="9"/>
        <v>1927.3238270608194</v>
      </c>
      <c r="E252" s="3">
        <f t="shared" si="10"/>
        <v>176635.39272357748</v>
      </c>
      <c r="F252" s="4">
        <f>('Owner Occupier'!$H$24-'Owner Occupier'!$D$52)/('Owner Occupier'!$D$56-'Owner Occupier'!$D$52)*B252</f>
        <v>603.65081402910994</v>
      </c>
      <c r="G252" s="4">
        <f t="shared" si="11"/>
        <v>100121.66713632976</v>
      </c>
    </row>
    <row r="253" spans="1:7">
      <c r="A253">
        <v>250</v>
      </c>
      <c r="B253" s="4">
        <f>-PPMT('Owner Occupier'!$D$41/12,'FHA Amotization'!$A253,360,'Owner Occupier'!$D$40,0,0)</f>
        <v>1301.7401444981497</v>
      </c>
      <c r="C253" s="4">
        <f>-IPMT('Owner Occupier'!$D$41/12,'FHA Amotization'!$A253,360,'Owner Occupier'!$D$40,0,0)</f>
        <v>625.58368256267011</v>
      </c>
      <c r="D253" s="4">
        <f t="shared" si="9"/>
        <v>1927.3238270608199</v>
      </c>
      <c r="E253" s="3">
        <f t="shared" si="10"/>
        <v>175333.65257907932</v>
      </c>
      <c r="F253" s="4">
        <f>('Owner Occupier'!$H$24-'Owner Occupier'!$D$52)/('Owner Occupier'!$D$56-'Owner Occupier'!$D$52)*B253</f>
        <v>605.78874399546316</v>
      </c>
      <c r="G253" s="4">
        <f t="shared" si="11"/>
        <v>100727.45588032523</v>
      </c>
    </row>
    <row r="254" spans="1:7">
      <c r="A254">
        <v>251</v>
      </c>
      <c r="B254" s="4">
        <f>-PPMT('Owner Occupier'!$D$41/12,'FHA Amotization'!$A254,360,'Owner Occupier'!$D$40,0,0)</f>
        <v>1306.3504741765805</v>
      </c>
      <c r="C254" s="4">
        <f>-IPMT('Owner Occupier'!$D$41/12,'FHA Amotization'!$A254,360,'Owner Occupier'!$D$40,0,0)</f>
        <v>620.97335288423915</v>
      </c>
      <c r="D254" s="4">
        <f t="shared" si="9"/>
        <v>1927.3238270608197</v>
      </c>
      <c r="E254" s="3">
        <f t="shared" si="10"/>
        <v>174027.30210490274</v>
      </c>
      <c r="F254" s="4">
        <f>('Owner Occupier'!$H$24-'Owner Occupier'!$D$52)/('Owner Occupier'!$D$56-'Owner Occupier'!$D$52)*B254</f>
        <v>607.9342457971137</v>
      </c>
      <c r="G254" s="4">
        <f t="shared" si="11"/>
        <v>101335.39012612234</v>
      </c>
    </row>
    <row r="255" spans="1:7">
      <c r="A255">
        <v>252</v>
      </c>
      <c r="B255" s="4">
        <f>-PPMT('Owner Occupier'!$D$41/12,'FHA Amotization'!$A255,360,'Owner Occupier'!$D$40,0,0)</f>
        <v>1310.9771321059559</v>
      </c>
      <c r="C255" s="4">
        <f>-IPMT('Owner Occupier'!$D$41/12,'FHA Amotization'!$A255,360,'Owner Occupier'!$D$40,0,0)</f>
        <v>616.34669495486366</v>
      </c>
      <c r="D255" s="4">
        <f t="shared" si="9"/>
        <v>1927.3238270608194</v>
      </c>
      <c r="E255" s="3">
        <f t="shared" si="10"/>
        <v>172716.32497279678</v>
      </c>
      <c r="F255" s="4">
        <f>('Owner Occupier'!$H$24-'Owner Occupier'!$D$52)/('Owner Occupier'!$D$56-'Owner Occupier'!$D$52)*B255</f>
        <v>610.0873462509785</v>
      </c>
      <c r="G255" s="4">
        <f t="shared" si="11"/>
        <v>101945.47747237331</v>
      </c>
    </row>
    <row r="256" spans="1:7">
      <c r="A256">
        <v>253</v>
      </c>
      <c r="B256" s="4">
        <f>-PPMT('Owner Occupier'!$D$41/12,'FHA Amotization'!$A256,360,'Owner Occupier'!$D$40,0,0)</f>
        <v>1315.6201761154978</v>
      </c>
      <c r="C256" s="4">
        <f>-IPMT('Owner Occupier'!$D$41/12,'FHA Amotization'!$A256,360,'Owner Occupier'!$D$40,0,0)</f>
        <v>611.70365094532178</v>
      </c>
      <c r="D256" s="4">
        <f t="shared" si="9"/>
        <v>1927.3238270608194</v>
      </c>
      <c r="E256" s="3">
        <f t="shared" si="10"/>
        <v>171400.70479668127</v>
      </c>
      <c r="F256" s="4">
        <f>('Owner Occupier'!$H$24-'Owner Occupier'!$D$52)/('Owner Occupier'!$D$56-'Owner Occupier'!$D$52)*B256</f>
        <v>612.24807226895064</v>
      </c>
      <c r="G256" s="4">
        <f t="shared" si="11"/>
        <v>102557.72554464226</v>
      </c>
    </row>
    <row r="257" spans="1:7">
      <c r="A257">
        <v>254</v>
      </c>
      <c r="B257" s="4">
        <f>-PPMT('Owner Occupier'!$D$41/12,'FHA Amotization'!$A257,360,'Owner Occupier'!$D$40,0,0)</f>
        <v>1320.2796642392404</v>
      </c>
      <c r="C257" s="4">
        <f>-IPMT('Owner Occupier'!$D$41/12,'FHA Amotization'!$A257,360,'Owner Occupier'!$D$40,0,0)</f>
        <v>607.04416282157945</v>
      </c>
      <c r="D257" s="4">
        <f t="shared" si="9"/>
        <v>1927.3238270608199</v>
      </c>
      <c r="E257" s="3">
        <f t="shared" si="10"/>
        <v>170080.42513244203</v>
      </c>
      <c r="F257" s="4">
        <f>('Owner Occupier'!$H$24-'Owner Occupier'!$D$52)/('Owner Occupier'!$D$56-'Owner Occupier'!$D$52)*B257</f>
        <v>614.41645085823666</v>
      </c>
      <c r="G257" s="4">
        <f t="shared" si="11"/>
        <v>103172.1419955005</v>
      </c>
    </row>
    <row r="258" spans="1:7">
      <c r="A258">
        <v>255</v>
      </c>
      <c r="B258" s="4">
        <f>-PPMT('Owner Occupier'!$D$41/12,'FHA Amotization'!$A258,360,'Owner Occupier'!$D$40,0,0)</f>
        <v>1324.9556547167542</v>
      </c>
      <c r="C258" s="4">
        <f>-IPMT('Owner Occupier'!$D$41/12,'FHA Amotization'!$A258,360,'Owner Occupier'!$D$40,0,0)</f>
        <v>602.36817234406533</v>
      </c>
      <c r="D258" s="4">
        <f t="shared" si="9"/>
        <v>1927.3238270608194</v>
      </c>
      <c r="E258" s="3">
        <f t="shared" si="10"/>
        <v>168755.46947772527</v>
      </c>
      <c r="F258" s="4">
        <f>('Owner Occupier'!$H$24-'Owner Occupier'!$D$52)/('Owner Occupier'!$D$56-'Owner Occupier'!$D$52)*B258</f>
        <v>616.59250912169284</v>
      </c>
      <c r="G258" s="4">
        <f t="shared" si="11"/>
        <v>103788.73450462219</v>
      </c>
    </row>
    <row r="259" spans="1:7">
      <c r="A259">
        <v>256</v>
      </c>
      <c r="B259" s="4">
        <f>-PPMT('Owner Occupier'!$D$41/12,'FHA Amotization'!$A259,360,'Owner Occupier'!$D$40,0,0)</f>
        <v>1329.648205993876</v>
      </c>
      <c r="C259" s="4">
        <f>-IPMT('Owner Occupier'!$D$41/12,'FHA Amotization'!$A259,360,'Owner Occupier'!$D$40,0,0)</f>
        <v>597.67562106694356</v>
      </c>
      <c r="D259" s="4">
        <f t="shared" si="9"/>
        <v>1927.3238270608194</v>
      </c>
      <c r="E259" s="3">
        <f t="shared" si="10"/>
        <v>167425.8212717314</v>
      </c>
      <c r="F259" s="4">
        <f>('Owner Occupier'!$H$24-'Owner Occupier'!$D$52)/('Owner Occupier'!$D$56-'Owner Occupier'!$D$52)*B259</f>
        <v>618.77627425816547</v>
      </c>
      <c r="G259" s="4">
        <f t="shared" si="11"/>
        <v>104407.51077888036</v>
      </c>
    </row>
    <row r="260" spans="1:7">
      <c r="A260">
        <v>257</v>
      </c>
      <c r="B260" s="4">
        <f>-PPMT('Owner Occupier'!$D$41/12,'FHA Amotization'!$A260,360,'Owner Occupier'!$D$40,0,0)</f>
        <v>1334.3573767234379</v>
      </c>
      <c r="C260" s="4">
        <f>-IPMT('Owner Occupier'!$D$41/12,'FHA Amotization'!$A260,360,'Owner Occupier'!$D$40,0,0)</f>
        <v>592.96645033738184</v>
      </c>
      <c r="D260" s="4">
        <f t="shared" si="9"/>
        <v>1927.3238270608199</v>
      </c>
      <c r="E260" s="3">
        <f t="shared" si="10"/>
        <v>166091.46389500797</v>
      </c>
      <c r="F260" s="4">
        <f>('Owner Occupier'!$H$24-'Owner Occupier'!$D$52)/('Owner Occupier'!$D$56-'Owner Occupier'!$D$52)*B260</f>
        <v>620.96777356282996</v>
      </c>
      <c r="G260" s="4">
        <f t="shared" si="11"/>
        <v>105028.47855244319</v>
      </c>
    </row>
    <row r="261" spans="1:7">
      <c r="A261">
        <v>258</v>
      </c>
      <c r="B261" s="4">
        <f>-PPMT('Owner Occupier'!$D$41/12,'FHA Amotization'!$A261,360,'Owner Occupier'!$D$40,0,0)</f>
        <v>1339.0832257659999</v>
      </c>
      <c r="C261" s="4">
        <f>-IPMT('Owner Occupier'!$D$41/12,'FHA Amotization'!$A261,360,'Owner Occupier'!$D$40,0,0)</f>
        <v>588.24060129481961</v>
      </c>
      <c r="D261" s="4">
        <f t="shared" ref="D261:D324" si="12">B261+C261</f>
        <v>1927.3238270608194</v>
      </c>
      <c r="E261" s="3">
        <f t="shared" si="10"/>
        <v>164752.38066924197</v>
      </c>
      <c r="F261" s="4">
        <f>('Owner Occupier'!$H$24-'Owner Occupier'!$D$52)/('Owner Occupier'!$D$56-'Owner Occupier'!$D$52)*B261</f>
        <v>623.16703442753158</v>
      </c>
      <c r="G261" s="4">
        <f t="shared" si="11"/>
        <v>105651.64558687073</v>
      </c>
    </row>
    <row r="262" spans="1:7">
      <c r="A262">
        <v>259</v>
      </c>
      <c r="B262" s="4">
        <f>-PPMT('Owner Occupier'!$D$41/12,'FHA Amotization'!$A262,360,'Owner Occupier'!$D$40,0,0)</f>
        <v>1343.8258121905878</v>
      </c>
      <c r="C262" s="4">
        <f>-IPMT('Owner Occupier'!$D$41/12,'FHA Amotization'!$A262,360,'Owner Occupier'!$D$40,0,0)</f>
        <v>583.49801487023171</v>
      </c>
      <c r="D262" s="4">
        <f t="shared" si="12"/>
        <v>1927.3238270608194</v>
      </c>
      <c r="E262" s="3">
        <f t="shared" ref="E262:E325" si="13">E261-B262</f>
        <v>163408.55485705138</v>
      </c>
      <c r="F262" s="4">
        <f>('Owner Occupier'!$H$24-'Owner Occupier'!$D$52)/('Owner Occupier'!$D$56-'Owner Occupier'!$D$52)*B262</f>
        <v>625.37408434112899</v>
      </c>
      <c r="G262" s="4">
        <f t="shared" ref="G262:G325" si="14">F262+G261</f>
        <v>106277.01967121186</v>
      </c>
    </row>
    <row r="263" spans="1:7">
      <c r="A263">
        <v>260</v>
      </c>
      <c r="B263" s="4">
        <f>-PPMT('Owner Occupier'!$D$41/12,'FHA Amotization'!$A263,360,'Owner Occupier'!$D$40,0,0)</f>
        <v>1348.5851952754294</v>
      </c>
      <c r="C263" s="4">
        <f>-IPMT('Owner Occupier'!$D$41/12,'FHA Amotization'!$A263,360,'Owner Occupier'!$D$40,0,0)</f>
        <v>578.73863178539</v>
      </c>
      <c r="D263" s="4">
        <f t="shared" si="12"/>
        <v>1927.3238270608194</v>
      </c>
      <c r="E263" s="3">
        <f t="shared" si="13"/>
        <v>162059.96966177595</v>
      </c>
      <c r="F263" s="4">
        <f>('Owner Occupier'!$H$24-'Owner Occupier'!$D$52)/('Owner Occupier'!$D$56-'Owner Occupier'!$D$52)*B263</f>
        <v>627.58895088983718</v>
      </c>
      <c r="G263" s="4">
        <f t="shared" si="14"/>
        <v>106904.6086221017</v>
      </c>
    </row>
    <row r="264" spans="1:7">
      <c r="A264">
        <v>261</v>
      </c>
      <c r="B264" s="4">
        <f>-PPMT('Owner Occupier'!$D$41/12,'FHA Amotization'!$A264,360,'Owner Occupier'!$D$40,0,0)</f>
        <v>1353.3614345086964</v>
      </c>
      <c r="C264" s="4">
        <f>-IPMT('Owner Occupier'!$D$41/12,'FHA Amotization'!$A264,360,'Owner Occupier'!$D$40,0,0)</f>
        <v>573.96239255212288</v>
      </c>
      <c r="D264" s="4">
        <f t="shared" si="12"/>
        <v>1927.3238270608194</v>
      </c>
      <c r="E264" s="3">
        <f t="shared" si="13"/>
        <v>160706.60822726725</v>
      </c>
      <c r="F264" s="4">
        <f>('Owner Occupier'!$H$24-'Owner Occupier'!$D$52)/('Owner Occupier'!$D$56-'Owner Occupier'!$D$52)*B264</f>
        <v>629.81166175757198</v>
      </c>
      <c r="G264" s="4">
        <f t="shared" si="14"/>
        <v>107534.42028385928</v>
      </c>
    </row>
    <row r="265" spans="1:7">
      <c r="A265">
        <v>262</v>
      </c>
      <c r="B265" s="4">
        <f>-PPMT('Owner Occupier'!$D$41/12,'FHA Amotization'!$A265,360,'Owner Occupier'!$D$40,0,0)</f>
        <v>1358.1545895892482</v>
      </c>
      <c r="C265" s="4">
        <f>-IPMT('Owner Occupier'!$D$41/12,'FHA Amotization'!$A265,360,'Owner Occupier'!$D$40,0,0)</f>
        <v>569.16923747157136</v>
      </c>
      <c r="D265" s="4">
        <f t="shared" si="12"/>
        <v>1927.3238270608194</v>
      </c>
      <c r="E265" s="3">
        <f t="shared" si="13"/>
        <v>159348.453637678</v>
      </c>
      <c r="F265" s="4">
        <f>('Owner Occupier'!$H$24-'Owner Occupier'!$D$52)/('Owner Occupier'!$D$56-'Owner Occupier'!$D$52)*B265</f>
        <v>632.04224472629676</v>
      </c>
      <c r="G265" s="4">
        <f t="shared" si="14"/>
        <v>108166.46252858557</v>
      </c>
    </row>
    <row r="266" spans="1:7">
      <c r="A266">
        <v>263</v>
      </c>
      <c r="B266" s="4">
        <f>-PPMT('Owner Occupier'!$D$41/12,'FHA Amotization'!$A266,360,'Owner Occupier'!$D$40,0,0)</f>
        <v>1362.9647204273767</v>
      </c>
      <c r="C266" s="4">
        <f>-IPMT('Owner Occupier'!$D$41/12,'FHA Amotization'!$A266,360,'Owner Occupier'!$D$40,0,0)</f>
        <v>564.35910663344271</v>
      </c>
      <c r="D266" s="4">
        <f t="shared" si="12"/>
        <v>1927.3238270608194</v>
      </c>
      <c r="E266" s="3">
        <f t="shared" si="13"/>
        <v>157985.48891725062</v>
      </c>
      <c r="F266" s="4">
        <f>('Owner Occupier'!$H$24-'Owner Occupier'!$D$52)/('Owner Occupier'!$D$56-'Owner Occupier'!$D$52)*B266</f>
        <v>634.280727676369</v>
      </c>
      <c r="G266" s="4">
        <f t="shared" si="14"/>
        <v>108800.74325626194</v>
      </c>
    </row>
    <row r="267" spans="1:7">
      <c r="A267">
        <v>264</v>
      </c>
      <c r="B267" s="4">
        <f>-PPMT('Owner Occupier'!$D$41/12,'FHA Amotization'!$A267,360,'Owner Occupier'!$D$40,0,0)</f>
        <v>1367.7918871455572</v>
      </c>
      <c r="C267" s="4">
        <f>-IPMT('Owner Occupier'!$D$41/12,'FHA Amotization'!$A267,360,'Owner Occupier'!$D$40,0,0)</f>
        <v>559.53193991526257</v>
      </c>
      <c r="D267" s="4">
        <f t="shared" si="12"/>
        <v>1927.3238270608199</v>
      </c>
      <c r="E267" s="3">
        <f t="shared" si="13"/>
        <v>156617.69703010508</v>
      </c>
      <c r="F267" s="4">
        <f>('Owner Occupier'!$H$24-'Owner Occupier'!$D$52)/('Owner Occupier'!$D$56-'Owner Occupier'!$D$52)*B267</f>
        <v>636.52713858688958</v>
      </c>
      <c r="G267" s="4">
        <f t="shared" si="14"/>
        <v>109437.27039484882</v>
      </c>
    </row>
    <row r="268" spans="1:7">
      <c r="A268">
        <v>265</v>
      </c>
      <c r="B268" s="4">
        <f>-PPMT('Owner Occupier'!$D$41/12,'FHA Amotization'!$A268,360,'Owner Occupier'!$D$40,0,0)</f>
        <v>1372.6361500791977</v>
      </c>
      <c r="C268" s="4">
        <f>-IPMT('Owner Occupier'!$D$41/12,'FHA Amotization'!$A268,360,'Owner Occupier'!$D$40,0,0)</f>
        <v>554.68767698162185</v>
      </c>
      <c r="D268" s="4">
        <f t="shared" si="12"/>
        <v>1927.3238270608194</v>
      </c>
      <c r="E268" s="3">
        <f t="shared" si="13"/>
        <v>155245.06088002588</v>
      </c>
      <c r="F268" s="4">
        <f>('Owner Occupier'!$H$24-'Owner Occupier'!$D$52)/('Owner Occupier'!$D$56-'Owner Occupier'!$D$52)*B268</f>
        <v>638.78150553605144</v>
      </c>
      <c r="G268" s="4">
        <f t="shared" si="14"/>
        <v>110076.05190038487</v>
      </c>
    </row>
    <row r="269" spans="1:7">
      <c r="A269">
        <v>266</v>
      </c>
      <c r="B269" s="4">
        <f>-PPMT('Owner Occupier'!$D$41/12,'FHA Amotization'!$A269,360,'Owner Occupier'!$D$40,0,0)</f>
        <v>1377.4975697773948</v>
      </c>
      <c r="C269" s="4">
        <f>-IPMT('Owner Occupier'!$D$41/12,'FHA Amotization'!$A269,360,'Owner Occupier'!$D$40,0,0)</f>
        <v>549.82625728342475</v>
      </c>
      <c r="D269" s="4">
        <f t="shared" si="12"/>
        <v>1927.3238270608194</v>
      </c>
      <c r="E269" s="3">
        <f t="shared" si="13"/>
        <v>153867.56331024849</v>
      </c>
      <c r="F269" s="4">
        <f>('Owner Occupier'!$H$24-'Owner Occupier'!$D$52)/('Owner Occupier'!$D$56-'Owner Occupier'!$D$52)*B269</f>
        <v>641.04385670149156</v>
      </c>
      <c r="G269" s="4">
        <f t="shared" si="14"/>
        <v>110717.09575708637</v>
      </c>
    </row>
    <row r="270" spans="1:7">
      <c r="A270">
        <v>267</v>
      </c>
      <c r="B270" s="4">
        <f>-PPMT('Owner Occupier'!$D$41/12,'FHA Amotization'!$A270,360,'Owner Occupier'!$D$40,0,0)</f>
        <v>1382.3762070036896</v>
      </c>
      <c r="C270" s="4">
        <f>-IPMT('Owner Occupier'!$D$41/12,'FHA Amotization'!$A270,360,'Owner Occupier'!$D$40,0,0)</f>
        <v>544.94762005712982</v>
      </c>
      <c r="D270" s="4">
        <f t="shared" si="12"/>
        <v>1927.3238270608194</v>
      </c>
      <c r="E270" s="3">
        <f t="shared" si="13"/>
        <v>152485.1871032448</v>
      </c>
      <c r="F270" s="4">
        <f>('Owner Occupier'!$H$24-'Owner Occupier'!$D$52)/('Owner Occupier'!$D$56-'Owner Occupier'!$D$52)*B270</f>
        <v>643.31422036064271</v>
      </c>
      <c r="G270" s="4">
        <f t="shared" si="14"/>
        <v>111360.40997744701</v>
      </c>
    </row>
    <row r="271" spans="1:7">
      <c r="A271">
        <v>268</v>
      </c>
      <c r="B271" s="4">
        <f>-PPMT('Owner Occupier'!$D$41/12,'FHA Amotization'!$A271,360,'Owner Occupier'!$D$40,0,0)</f>
        <v>1387.2721227368279</v>
      </c>
      <c r="C271" s="4">
        <f>-IPMT('Owner Occupier'!$D$41/12,'FHA Amotization'!$A271,360,'Owner Occupier'!$D$40,0,0)</f>
        <v>540.05170432399177</v>
      </c>
      <c r="D271" s="4">
        <f t="shared" si="12"/>
        <v>1927.3238270608197</v>
      </c>
      <c r="E271" s="3">
        <f t="shared" si="13"/>
        <v>151097.91498050798</v>
      </c>
      <c r="F271" s="4">
        <f>('Owner Occupier'!$H$24-'Owner Occupier'!$D$52)/('Owner Occupier'!$D$56-'Owner Occupier'!$D$52)*B271</f>
        <v>645.59262489108676</v>
      </c>
      <c r="G271" s="4">
        <f t="shared" si="14"/>
        <v>112006.00260233809</v>
      </c>
    </row>
    <row r="272" spans="1:7">
      <c r="A272">
        <v>269</v>
      </c>
      <c r="B272" s="4">
        <f>-PPMT('Owner Occupier'!$D$41/12,'FHA Amotization'!$A272,360,'Owner Occupier'!$D$40,0,0)</f>
        <v>1392.1853781715208</v>
      </c>
      <c r="C272" s="4">
        <f>-IPMT('Owner Occupier'!$D$41/12,'FHA Amotization'!$A272,360,'Owner Occupier'!$D$40,0,0)</f>
        <v>535.13844888929896</v>
      </c>
      <c r="D272" s="4">
        <f t="shared" si="12"/>
        <v>1927.3238270608199</v>
      </c>
      <c r="E272" s="3">
        <f t="shared" si="13"/>
        <v>149705.72960233645</v>
      </c>
      <c r="F272" s="4">
        <f>('Owner Occupier'!$H$24-'Owner Occupier'!$D$52)/('Owner Occupier'!$D$56-'Owner Occupier'!$D$52)*B272</f>
        <v>647.87909877090931</v>
      </c>
      <c r="G272" s="4">
        <f t="shared" si="14"/>
        <v>112653.881701109</v>
      </c>
    </row>
    <row r="273" spans="1:7">
      <c r="A273">
        <v>270</v>
      </c>
      <c r="B273" s="4">
        <f>-PPMT('Owner Occupier'!$D$41/12,'FHA Amotization'!$A273,360,'Owner Occupier'!$D$40,0,0)</f>
        <v>1397.1160347192115</v>
      </c>
      <c r="C273" s="4">
        <f>-IPMT('Owner Occupier'!$D$41/12,'FHA Amotization'!$A273,360,'Owner Occupier'!$D$40,0,0)</f>
        <v>530.20779234160796</v>
      </c>
      <c r="D273" s="4">
        <f t="shared" si="12"/>
        <v>1927.3238270608194</v>
      </c>
      <c r="E273" s="3">
        <f t="shared" si="13"/>
        <v>148308.61356761723</v>
      </c>
      <c r="F273" s="4">
        <f>('Owner Occupier'!$H$24-'Owner Occupier'!$D$52)/('Owner Occupier'!$D$56-'Owner Occupier'!$D$52)*B273</f>
        <v>650.17367057905619</v>
      </c>
      <c r="G273" s="4">
        <f t="shared" si="14"/>
        <v>113304.05537168805</v>
      </c>
    </row>
    <row r="274" spans="1:7">
      <c r="A274">
        <v>271</v>
      </c>
      <c r="B274" s="4">
        <f>-PPMT('Owner Occupier'!$D$41/12,'FHA Amotization'!$A274,360,'Owner Occupier'!$D$40,0,0)</f>
        <v>1402.064154008842</v>
      </c>
      <c r="C274" s="4">
        <f>-IPMT('Owner Occupier'!$D$41/12,'FHA Amotization'!$A274,360,'Owner Occupier'!$D$40,0,0)</f>
        <v>525.25967305197753</v>
      </c>
      <c r="D274" s="4">
        <f t="shared" si="12"/>
        <v>1927.3238270608194</v>
      </c>
      <c r="E274" s="3">
        <f t="shared" si="13"/>
        <v>146906.54941360839</v>
      </c>
      <c r="F274" s="4">
        <f>('Owner Occupier'!$H$24-'Owner Occupier'!$D$52)/('Owner Occupier'!$D$56-'Owner Occupier'!$D$52)*B274</f>
        <v>652.47636899569034</v>
      </c>
      <c r="G274" s="4">
        <f t="shared" si="14"/>
        <v>113956.53174068374</v>
      </c>
    </row>
    <row r="275" spans="1:7">
      <c r="A275">
        <v>272</v>
      </c>
      <c r="B275" s="4">
        <f>-PPMT('Owner Occupier'!$D$41/12,'FHA Amotization'!$A275,360,'Owner Occupier'!$D$40,0,0)</f>
        <v>1407.0297978876235</v>
      </c>
      <c r="C275" s="4">
        <f>-IPMT('Owner Occupier'!$D$41/12,'FHA Amotization'!$A275,360,'Owner Occupier'!$D$40,0,0)</f>
        <v>520.29402917319624</v>
      </c>
      <c r="D275" s="4">
        <f t="shared" si="12"/>
        <v>1927.3238270608199</v>
      </c>
      <c r="E275" s="3">
        <f t="shared" si="13"/>
        <v>145499.51961572075</v>
      </c>
      <c r="F275" s="4">
        <f>('Owner Occupier'!$H$24-'Owner Occupier'!$D$52)/('Owner Occupier'!$D$56-'Owner Occupier'!$D$52)*B275</f>
        <v>654.78722280255022</v>
      </c>
      <c r="G275" s="4">
        <f t="shared" si="14"/>
        <v>114611.31896348629</v>
      </c>
    </row>
    <row r="276" spans="1:7">
      <c r="A276">
        <v>273</v>
      </c>
      <c r="B276" s="4">
        <f>-PPMT('Owner Occupier'!$D$41/12,'FHA Amotization'!$A276,360,'Owner Occupier'!$D$40,0,0)</f>
        <v>1412.0130284218087</v>
      </c>
      <c r="C276" s="4">
        <f>-IPMT('Owner Occupier'!$D$41/12,'FHA Amotization'!$A276,360,'Owner Occupier'!$D$40,0,0)</f>
        <v>515.31079863901095</v>
      </c>
      <c r="D276" s="4">
        <f t="shared" si="12"/>
        <v>1927.3238270608197</v>
      </c>
      <c r="E276" s="3">
        <f t="shared" si="13"/>
        <v>144087.50658729894</v>
      </c>
      <c r="F276" s="4">
        <f>('Owner Occupier'!$H$24-'Owner Occupier'!$D$52)/('Owner Occupier'!$D$56-'Owner Occupier'!$D$52)*B276</f>
        <v>657.10626088330912</v>
      </c>
      <c r="G276" s="4">
        <f t="shared" si="14"/>
        <v>115268.42522436961</v>
      </c>
    </row>
    <row r="277" spans="1:7">
      <c r="A277">
        <v>274</v>
      </c>
      <c r="B277" s="4">
        <f>-PPMT('Owner Occupier'!$D$41/12,'FHA Amotization'!$A277,360,'Owner Occupier'!$D$40,0,0)</f>
        <v>1417.0139078974694</v>
      </c>
      <c r="C277" s="4">
        <f>-IPMT('Owner Occupier'!$D$41/12,'FHA Amotization'!$A277,360,'Owner Occupier'!$D$40,0,0)</f>
        <v>510.30991916335034</v>
      </c>
      <c r="D277" s="4">
        <f t="shared" si="12"/>
        <v>1927.3238270608197</v>
      </c>
      <c r="E277" s="3">
        <f t="shared" si="13"/>
        <v>142670.49267940148</v>
      </c>
      <c r="F277" s="4">
        <f>('Owner Occupier'!$H$24-'Owner Occupier'!$D$52)/('Owner Occupier'!$D$56-'Owner Occupier'!$D$52)*B277</f>
        <v>659.43351222393756</v>
      </c>
      <c r="G277" s="4">
        <f t="shared" si="14"/>
        <v>115927.85873659355</v>
      </c>
    </row>
    <row r="278" spans="1:7">
      <c r="A278">
        <v>275</v>
      </c>
      <c r="B278" s="4">
        <f>-PPMT('Owner Occupier'!$D$41/12,'FHA Amotization'!$A278,360,'Owner Occupier'!$D$40,0,0)</f>
        <v>1422.0324988212728</v>
      </c>
      <c r="C278" s="4">
        <f>-IPMT('Owner Occupier'!$D$41/12,'FHA Amotization'!$A278,360,'Owner Occupier'!$D$40,0,0)</f>
        <v>505.29132823954671</v>
      </c>
      <c r="D278" s="4">
        <f t="shared" si="12"/>
        <v>1927.3238270608194</v>
      </c>
      <c r="E278" s="3">
        <f t="shared" si="13"/>
        <v>141248.46018058021</v>
      </c>
      <c r="F278" s="4">
        <f>('Owner Occupier'!$H$24-'Owner Occupier'!$D$52)/('Owner Occupier'!$D$56-'Owner Occupier'!$D$52)*B278</f>
        <v>661.76900591306401</v>
      </c>
      <c r="G278" s="4">
        <f t="shared" si="14"/>
        <v>116589.62774250662</v>
      </c>
    </row>
    <row r="279" spans="1:7">
      <c r="A279">
        <v>276</v>
      </c>
      <c r="B279" s="4">
        <f>-PPMT('Owner Occupier'!$D$41/12,'FHA Amotization'!$A279,360,'Owner Occupier'!$D$40,0,0)</f>
        <v>1427.0688639212647</v>
      </c>
      <c r="C279" s="4">
        <f>-IPMT('Owner Occupier'!$D$41/12,'FHA Amotization'!$A279,360,'Owner Occupier'!$D$40,0,0)</f>
        <v>500.25496313955483</v>
      </c>
      <c r="D279" s="4">
        <f t="shared" si="12"/>
        <v>1927.3238270608194</v>
      </c>
      <c r="E279" s="3">
        <f t="shared" si="13"/>
        <v>139821.39131665893</v>
      </c>
      <c r="F279" s="4">
        <f>('Owner Occupier'!$H$24-'Owner Occupier'!$D$52)/('Owner Occupier'!$D$56-'Owner Occupier'!$D$52)*B279</f>
        <v>664.1127711423394</v>
      </c>
      <c r="G279" s="4">
        <f t="shared" si="14"/>
        <v>117253.74051364895</v>
      </c>
    </row>
    <row r="280" spans="1:7">
      <c r="A280">
        <v>277</v>
      </c>
      <c r="B280" s="4">
        <f>-PPMT('Owner Occupier'!$D$41/12,'FHA Amotization'!$A280,360,'Owner Occupier'!$D$40,0,0)</f>
        <v>1432.1230661476527</v>
      </c>
      <c r="C280" s="4">
        <f>-IPMT('Owner Occupier'!$D$41/12,'FHA Amotization'!$A280,360,'Owner Occupier'!$D$40,0,0)</f>
        <v>495.20076091316702</v>
      </c>
      <c r="D280" s="4">
        <f t="shared" si="12"/>
        <v>1927.3238270608197</v>
      </c>
      <c r="E280" s="3">
        <f t="shared" si="13"/>
        <v>138389.26825051129</v>
      </c>
      <c r="F280" s="4">
        <f>('Owner Occupier'!$H$24-'Owner Occupier'!$D$52)/('Owner Occupier'!$D$56-'Owner Occupier'!$D$52)*B280</f>
        <v>666.46483720680192</v>
      </c>
      <c r="G280" s="4">
        <f t="shared" si="14"/>
        <v>117920.20535085576</v>
      </c>
    </row>
    <row r="281" spans="1:7">
      <c r="A281">
        <v>278</v>
      </c>
      <c r="B281" s="4">
        <f>-PPMT('Owner Occupier'!$D$41/12,'FHA Amotization'!$A281,360,'Owner Occupier'!$D$40,0,0)</f>
        <v>1437.1951686735922</v>
      </c>
      <c r="C281" s="4">
        <f>-IPMT('Owner Occupier'!$D$41/12,'FHA Amotization'!$A281,360,'Owner Occupier'!$D$40,0,0)</f>
        <v>490.12865838722729</v>
      </c>
      <c r="D281" s="4">
        <f t="shared" si="12"/>
        <v>1927.3238270608194</v>
      </c>
      <c r="E281" s="3">
        <f t="shared" si="13"/>
        <v>136952.07308183771</v>
      </c>
      <c r="F281" s="4">
        <f>('Owner Occupier'!$H$24-'Owner Occupier'!$D$52)/('Owner Occupier'!$D$56-'Owner Occupier'!$D$52)*B281</f>
        <v>668.82523350524264</v>
      </c>
      <c r="G281" s="4">
        <f t="shared" si="14"/>
        <v>118589.030584361</v>
      </c>
    </row>
    <row r="282" spans="1:7">
      <c r="A282">
        <v>279</v>
      </c>
      <c r="B282" s="4">
        <f>-PPMT('Owner Occupier'!$D$41/12,'FHA Amotization'!$A282,360,'Owner Occupier'!$D$40,0,0)</f>
        <v>1442.285234895978</v>
      </c>
      <c r="C282" s="4">
        <f>-IPMT('Owner Occupier'!$D$41/12,'FHA Amotization'!$A282,360,'Owner Occupier'!$D$40,0,0)</f>
        <v>485.0385921648417</v>
      </c>
      <c r="D282" s="4">
        <f t="shared" si="12"/>
        <v>1927.3238270608197</v>
      </c>
      <c r="E282" s="3">
        <f t="shared" si="13"/>
        <v>135509.78784694173</v>
      </c>
      <c r="F282" s="4">
        <f>('Owner Occupier'!$H$24-'Owner Occupier'!$D$52)/('Owner Occupier'!$D$56-'Owner Occupier'!$D$52)*B282</f>
        <v>671.19398954057374</v>
      </c>
      <c r="G282" s="4">
        <f t="shared" si="14"/>
        <v>119260.22457390156</v>
      </c>
    </row>
    <row r="283" spans="1:7">
      <c r="A283">
        <v>280</v>
      </c>
      <c r="B283" s="4">
        <f>-PPMT('Owner Occupier'!$D$41/12,'FHA Amotization'!$A283,360,'Owner Occupier'!$D$40,0,0)</f>
        <v>1447.3933284362345</v>
      </c>
      <c r="C283" s="4">
        <f>-IPMT('Owner Occupier'!$D$41/12,'FHA Amotization'!$A283,360,'Owner Occupier'!$D$40,0,0)</f>
        <v>479.93049862458514</v>
      </c>
      <c r="D283" s="4">
        <f t="shared" si="12"/>
        <v>1927.3238270608197</v>
      </c>
      <c r="E283" s="3">
        <f t="shared" si="13"/>
        <v>134062.39451850549</v>
      </c>
      <c r="F283" s="4">
        <f>('Owner Occupier'!$H$24-'Owner Occupier'!$D$52)/('Owner Occupier'!$D$56-'Owner Occupier'!$D$52)*B283</f>
        <v>673.57113492019653</v>
      </c>
      <c r="G283" s="4">
        <f t="shared" si="14"/>
        <v>119933.79570882177</v>
      </c>
    </row>
    <row r="284" spans="1:7">
      <c r="A284">
        <v>281</v>
      </c>
      <c r="B284" s="4">
        <f>-PPMT('Owner Occupier'!$D$41/12,'FHA Amotization'!$A284,360,'Owner Occupier'!$D$40,0,0)</f>
        <v>1452.5195131411128</v>
      </c>
      <c r="C284" s="4">
        <f>-IPMT('Owner Occupier'!$D$41/12,'FHA Amotization'!$A284,360,'Owner Occupier'!$D$40,0,0)</f>
        <v>474.80431391970677</v>
      </c>
      <c r="D284" s="4">
        <f t="shared" si="12"/>
        <v>1927.3238270608197</v>
      </c>
      <c r="E284" s="3">
        <f t="shared" si="13"/>
        <v>132609.87500536439</v>
      </c>
      <c r="F284" s="4">
        <f>('Owner Occupier'!$H$24-'Owner Occupier'!$D$52)/('Owner Occupier'!$D$56-'Owner Occupier'!$D$52)*B284</f>
        <v>675.95669935637227</v>
      </c>
      <c r="G284" s="4">
        <f t="shared" si="14"/>
        <v>120609.75240817814</v>
      </c>
    </row>
    <row r="285" spans="1:7">
      <c r="A285">
        <v>282</v>
      </c>
      <c r="B285" s="4">
        <f>-PPMT('Owner Occupier'!$D$41/12,'FHA Amotization'!$A285,360,'Owner Occupier'!$D$40,0,0)</f>
        <v>1457.6638530834875</v>
      </c>
      <c r="C285" s="4">
        <f>-IPMT('Owner Occupier'!$D$41/12,'FHA Amotization'!$A285,360,'Owner Occupier'!$D$40,0,0)</f>
        <v>469.65997397733202</v>
      </c>
      <c r="D285" s="4">
        <f t="shared" si="12"/>
        <v>1927.3238270608194</v>
      </c>
      <c r="E285" s="3">
        <f t="shared" si="13"/>
        <v>131152.21115228091</v>
      </c>
      <c r="F285" s="4">
        <f>('Owner Occupier'!$H$24-'Owner Occupier'!$D$52)/('Owner Occupier'!$D$56-'Owner Occupier'!$D$52)*B285</f>
        <v>678.3507126665927</v>
      </c>
      <c r="G285" s="4">
        <f t="shared" si="14"/>
        <v>121288.10312084474</v>
      </c>
    </row>
    <row r="286" spans="1:7">
      <c r="A286">
        <v>283</v>
      </c>
      <c r="B286" s="4">
        <f>-PPMT('Owner Occupier'!$D$41/12,'FHA Amotization'!$A286,360,'Owner Occupier'!$D$40,0,0)</f>
        <v>1462.8264125631581</v>
      </c>
      <c r="C286" s="4">
        <f>-IPMT('Owner Occupier'!$D$41/12,'FHA Amotization'!$A286,360,'Owner Occupier'!$D$40,0,0)</f>
        <v>464.49741449766128</v>
      </c>
      <c r="D286" s="4">
        <f t="shared" si="12"/>
        <v>1927.3238270608194</v>
      </c>
      <c r="E286" s="3">
        <f t="shared" si="13"/>
        <v>129689.38473971776</v>
      </c>
      <c r="F286" s="4">
        <f>('Owner Occupier'!$H$24-'Owner Occupier'!$D$52)/('Owner Occupier'!$D$56-'Owner Occupier'!$D$52)*B286</f>
        <v>680.75320477395348</v>
      </c>
      <c r="G286" s="4">
        <f t="shared" si="14"/>
        <v>121968.85632561869</v>
      </c>
    </row>
    <row r="287" spans="1:7">
      <c r="A287">
        <v>284</v>
      </c>
      <c r="B287" s="4">
        <f>-PPMT('Owner Occupier'!$D$41/12,'FHA Amotization'!$A287,360,'Owner Occupier'!$D$40,0,0)</f>
        <v>1468.0072561076529</v>
      </c>
      <c r="C287" s="4">
        <f>-IPMT('Owner Occupier'!$D$41/12,'FHA Amotization'!$A287,360,'Owner Occupier'!$D$40,0,0)</f>
        <v>459.31657095316677</v>
      </c>
      <c r="D287" s="4">
        <f t="shared" si="12"/>
        <v>1927.3238270608197</v>
      </c>
      <c r="E287" s="3">
        <f t="shared" si="13"/>
        <v>128221.37748361011</v>
      </c>
      <c r="F287" s="4">
        <f>('Owner Occupier'!$H$24-'Owner Occupier'!$D$52)/('Owner Occupier'!$D$56-'Owner Occupier'!$D$52)*B287</f>
        <v>683.16420570752803</v>
      </c>
      <c r="G287" s="4">
        <f t="shared" si="14"/>
        <v>122652.02053132621</v>
      </c>
    </row>
    <row r="288" spans="1:7">
      <c r="A288">
        <v>285</v>
      </c>
      <c r="B288" s="4">
        <f>-PPMT('Owner Occupier'!$D$41/12,'FHA Amotization'!$A288,360,'Owner Occupier'!$D$40,0,0)</f>
        <v>1473.206448473034</v>
      </c>
      <c r="C288" s="4">
        <f>-IPMT('Owner Occupier'!$D$41/12,'FHA Amotization'!$A288,360,'Owner Occupier'!$D$40,0,0)</f>
        <v>454.11737858778559</v>
      </c>
      <c r="D288" s="4">
        <f t="shared" si="12"/>
        <v>1927.3238270608197</v>
      </c>
      <c r="E288" s="3">
        <f t="shared" si="13"/>
        <v>126748.17103513707</v>
      </c>
      <c r="F288" s="4">
        <f>('Owner Occupier'!$H$24-'Owner Occupier'!$D$52)/('Owner Occupier'!$D$56-'Owner Occupier'!$D$52)*B288</f>
        <v>685.58374560274217</v>
      </c>
      <c r="G288" s="4">
        <f t="shared" si="14"/>
        <v>123337.60427692895</v>
      </c>
    </row>
    <row r="289" spans="1:7">
      <c r="A289">
        <v>286</v>
      </c>
      <c r="B289" s="4">
        <f>-PPMT('Owner Occupier'!$D$41/12,'FHA Amotization'!$A289,360,'Owner Occupier'!$D$40,0,0)</f>
        <v>1478.4240546447095</v>
      </c>
      <c r="C289" s="4">
        <f>-IPMT('Owner Occupier'!$D$41/12,'FHA Amotization'!$A289,360,'Owner Occupier'!$D$40,0,0)</f>
        <v>448.89977241611018</v>
      </c>
      <c r="D289" s="4">
        <f t="shared" si="12"/>
        <v>1927.3238270608197</v>
      </c>
      <c r="E289" s="3">
        <f t="shared" si="13"/>
        <v>125269.74698049236</v>
      </c>
      <c r="F289" s="4">
        <f>('Owner Occupier'!$H$24-'Owner Occupier'!$D$52)/('Owner Occupier'!$D$56-'Owner Occupier'!$D$52)*B289</f>
        <v>688.01185470175199</v>
      </c>
      <c r="G289" s="4">
        <f t="shared" si="14"/>
        <v>124025.6161316307</v>
      </c>
    </row>
    <row r="290" spans="1:7">
      <c r="A290">
        <v>287</v>
      </c>
      <c r="B290" s="4">
        <f>-PPMT('Owner Occupier'!$D$41/12,'FHA Amotization'!$A290,360,'Owner Occupier'!$D$40,0,0)</f>
        <v>1483.6601398382427</v>
      </c>
      <c r="C290" s="4">
        <f>-IPMT('Owner Occupier'!$D$41/12,'FHA Amotization'!$A290,360,'Owner Occupier'!$D$40,0,0)</f>
        <v>443.66368722257681</v>
      </c>
      <c r="D290" s="4">
        <f t="shared" si="12"/>
        <v>1927.3238270608194</v>
      </c>
      <c r="E290" s="3">
        <f t="shared" si="13"/>
        <v>123786.08684065411</v>
      </c>
      <c r="F290" s="4">
        <f>('Owner Occupier'!$H$24-'Owner Occupier'!$D$52)/('Owner Occupier'!$D$56-'Owner Occupier'!$D$52)*B290</f>
        <v>690.44856335382053</v>
      </c>
      <c r="G290" s="4">
        <f t="shared" si="14"/>
        <v>124716.06469498451</v>
      </c>
    </row>
    <row r="291" spans="1:7">
      <c r="A291">
        <v>288</v>
      </c>
      <c r="B291" s="4">
        <f>-PPMT('Owner Occupier'!$D$41/12,'FHA Amotization'!$A291,360,'Owner Occupier'!$D$40,0,0)</f>
        <v>1488.91476950017</v>
      </c>
      <c r="C291" s="4">
        <f>-IPMT('Owner Occupier'!$D$41/12,'FHA Amotization'!$A291,360,'Owner Occupier'!$D$40,0,0)</f>
        <v>438.40905756064973</v>
      </c>
      <c r="D291" s="4">
        <f t="shared" si="12"/>
        <v>1927.3238270608197</v>
      </c>
      <c r="E291" s="3">
        <f t="shared" si="13"/>
        <v>122297.17207115394</v>
      </c>
      <c r="F291" s="4">
        <f>('Owner Occupier'!$H$24-'Owner Occupier'!$D$52)/('Owner Occupier'!$D$56-'Owner Occupier'!$D$52)*B291</f>
        <v>692.89390201569881</v>
      </c>
      <c r="G291" s="4">
        <f t="shared" si="14"/>
        <v>125408.95859700021</v>
      </c>
    </row>
    <row r="292" spans="1:7">
      <c r="A292">
        <v>289</v>
      </c>
      <c r="B292" s="4">
        <f>-PPMT('Owner Occupier'!$D$41/12,'FHA Amotization'!$A292,360,'Owner Occupier'!$D$40,0,0)</f>
        <v>1494.1880093088162</v>
      </c>
      <c r="C292" s="4">
        <f>-IPMT('Owner Occupier'!$D$41/12,'FHA Amotization'!$A292,360,'Owner Occupier'!$D$40,0,0)</f>
        <v>433.13581775200328</v>
      </c>
      <c r="D292" s="4">
        <f t="shared" si="12"/>
        <v>1927.3238270608194</v>
      </c>
      <c r="E292" s="3">
        <f t="shared" si="13"/>
        <v>120802.98406184513</v>
      </c>
      <c r="F292" s="4">
        <f>('Owner Occupier'!$H$24-'Owner Occupier'!$D$52)/('Owner Occupier'!$D$56-'Owner Occupier'!$D$52)*B292</f>
        <v>695.34790125200425</v>
      </c>
      <c r="G292" s="4">
        <f t="shared" si="14"/>
        <v>126104.30649825222</v>
      </c>
    </row>
    <row r="293" spans="1:7">
      <c r="A293">
        <v>290</v>
      </c>
      <c r="B293" s="4">
        <f>-PPMT('Owner Occupier'!$D$41/12,'FHA Amotization'!$A293,360,'Owner Occupier'!$D$40,0,0)</f>
        <v>1499.4799251751183</v>
      </c>
      <c r="C293" s="4">
        <f>-IPMT('Owner Occupier'!$D$41/12,'FHA Amotization'!$A293,360,'Owner Occupier'!$D$40,0,0)</f>
        <v>427.84390188570131</v>
      </c>
      <c r="D293" s="4">
        <f t="shared" si="12"/>
        <v>1927.3238270608197</v>
      </c>
      <c r="E293" s="3">
        <f t="shared" si="13"/>
        <v>119303.50413667</v>
      </c>
      <c r="F293" s="4">
        <f>('Owner Occupier'!$H$24-'Owner Occupier'!$D$52)/('Owner Occupier'!$D$56-'Owner Occupier'!$D$52)*B293</f>
        <v>697.81059173560516</v>
      </c>
      <c r="G293" s="4">
        <f t="shared" si="14"/>
        <v>126802.11708998782</v>
      </c>
    </row>
    <row r="294" spans="1:7">
      <c r="A294">
        <v>291</v>
      </c>
      <c r="B294" s="4">
        <f>-PPMT('Owner Occupier'!$D$41/12,'FHA Amotization'!$A294,360,'Owner Occupier'!$D$40,0,0)</f>
        <v>1504.7905832434469</v>
      </c>
      <c r="C294" s="4">
        <f>-IPMT('Owner Occupier'!$D$41/12,'FHA Amotization'!$A294,360,'Owner Occupier'!$D$40,0,0)</f>
        <v>422.53324381737269</v>
      </c>
      <c r="D294" s="4">
        <f t="shared" si="12"/>
        <v>1927.3238270608197</v>
      </c>
      <c r="E294" s="3">
        <f t="shared" si="13"/>
        <v>117798.71355342655</v>
      </c>
      <c r="F294" s="4">
        <f>('Owner Occupier'!$H$24-'Owner Occupier'!$D$52)/('Owner Occupier'!$D$56-'Owner Occupier'!$D$52)*B294</f>
        <v>700.28200424800207</v>
      </c>
      <c r="G294" s="4">
        <f t="shared" si="14"/>
        <v>127502.39909423582</v>
      </c>
    </row>
    <row r="295" spans="1:7">
      <c r="A295">
        <v>292</v>
      </c>
      <c r="B295" s="4">
        <f>-PPMT('Owner Occupier'!$D$41/12,'FHA Amotization'!$A295,360,'Owner Occupier'!$D$40,0,0)</f>
        <v>1510.1200498924341</v>
      </c>
      <c r="C295" s="4">
        <f>-IPMT('Owner Occupier'!$D$41/12,'FHA Amotization'!$A295,360,'Owner Occupier'!$D$40,0,0)</f>
        <v>417.20377716838544</v>
      </c>
      <c r="D295" s="4">
        <f t="shared" si="12"/>
        <v>1927.3238270608194</v>
      </c>
      <c r="E295" s="3">
        <f t="shared" si="13"/>
        <v>116288.59350353412</v>
      </c>
      <c r="F295" s="4">
        <f>('Owner Occupier'!$H$24-'Owner Occupier'!$D$52)/('Owner Occupier'!$D$56-'Owner Occupier'!$D$52)*B295</f>
        <v>702.76216967971379</v>
      </c>
      <c r="G295" s="4">
        <f t="shared" si="14"/>
        <v>128205.16126391554</v>
      </c>
    </row>
    <row r="296" spans="1:7">
      <c r="A296">
        <v>293</v>
      </c>
      <c r="B296" s="4">
        <f>-PPMT('Owner Occupier'!$D$41/12,'FHA Amotization'!$A296,360,'Owner Occupier'!$D$40,0,0)</f>
        <v>1515.4683917358032</v>
      </c>
      <c r="C296" s="4">
        <f>-IPMT('Owner Occupier'!$D$41/12,'FHA Amotization'!$A296,360,'Owner Occupier'!$D$40,0,0)</f>
        <v>411.8554353250164</v>
      </c>
      <c r="D296" s="4">
        <f t="shared" si="12"/>
        <v>1927.3238270608194</v>
      </c>
      <c r="E296" s="3">
        <f t="shared" si="13"/>
        <v>114773.12511179832</v>
      </c>
      <c r="F296" s="4">
        <f>('Owner Occupier'!$H$24-'Owner Occupier'!$D$52)/('Owner Occupier'!$D$56-'Owner Occupier'!$D$52)*B296</f>
        <v>705.25111903066272</v>
      </c>
      <c r="G296" s="4">
        <f t="shared" si="14"/>
        <v>128910.4123829462</v>
      </c>
    </row>
    <row r="297" spans="1:7">
      <c r="A297">
        <v>294</v>
      </c>
      <c r="B297" s="4">
        <f>-PPMT('Owner Occupier'!$D$41/12,'FHA Amotization'!$A297,360,'Owner Occupier'!$D$40,0,0)</f>
        <v>1520.8356756232008</v>
      </c>
      <c r="C297" s="4">
        <f>-IPMT('Owner Occupier'!$D$41/12,'FHA Amotization'!$A297,360,'Owner Occupier'!$D$40,0,0)</f>
        <v>406.4881514376188</v>
      </c>
      <c r="D297" s="4">
        <f t="shared" si="12"/>
        <v>1927.3238270608197</v>
      </c>
      <c r="E297" s="3">
        <f t="shared" si="13"/>
        <v>113252.28943617512</v>
      </c>
      <c r="F297" s="4">
        <f>('Owner Occupier'!$H$24-'Owner Occupier'!$D$52)/('Owner Occupier'!$D$56-'Owner Occupier'!$D$52)*B297</f>
        <v>707.74888341056305</v>
      </c>
      <c r="G297" s="4">
        <f t="shared" si="14"/>
        <v>129618.16126635676</v>
      </c>
    </row>
    <row r="298" spans="1:7">
      <c r="A298">
        <v>295</v>
      </c>
      <c r="B298" s="4">
        <f>-PPMT('Owner Occupier'!$D$41/12,'FHA Amotization'!$A298,360,'Owner Occupier'!$D$40,0,0)</f>
        <v>1526.2219686410331</v>
      </c>
      <c r="C298" s="4">
        <f>-IPMT('Owner Occupier'!$D$41/12,'FHA Amotization'!$A298,360,'Owner Occupier'!$D$40,0,0)</f>
        <v>401.10185841978665</v>
      </c>
      <c r="D298" s="4">
        <f t="shared" si="12"/>
        <v>1927.3238270608197</v>
      </c>
      <c r="E298" s="3">
        <f t="shared" si="13"/>
        <v>111726.06746753409</v>
      </c>
      <c r="F298" s="4">
        <f>('Owner Occupier'!$H$24-'Owner Occupier'!$D$52)/('Owner Occupier'!$D$56-'Owner Occupier'!$D$52)*B298</f>
        <v>710.25549403930881</v>
      </c>
      <c r="G298" s="4">
        <f t="shared" si="14"/>
        <v>130328.41676039607</v>
      </c>
    </row>
    <row r="299" spans="1:7">
      <c r="A299">
        <v>296</v>
      </c>
      <c r="B299" s="4">
        <f>-PPMT('Owner Occupier'!$D$41/12,'FHA Amotization'!$A299,360,'Owner Occupier'!$D$40,0,0)</f>
        <v>1531.6273381133033</v>
      </c>
      <c r="C299" s="4">
        <f>-IPMT('Owner Occupier'!$D$41/12,'FHA Amotization'!$A299,360,'Owner Occupier'!$D$40,0,0)</f>
        <v>395.69648894751629</v>
      </c>
      <c r="D299" s="4">
        <f t="shared" si="12"/>
        <v>1927.3238270608194</v>
      </c>
      <c r="E299" s="3">
        <f t="shared" si="13"/>
        <v>110194.44012942078</v>
      </c>
      <c r="F299" s="4">
        <f>('Owner Occupier'!$H$24-'Owner Occupier'!$D$52)/('Owner Occupier'!$D$56-'Owner Occupier'!$D$52)*B299</f>
        <v>712.77098224736471</v>
      </c>
      <c r="G299" s="4">
        <f t="shared" si="14"/>
        <v>131041.18774264344</v>
      </c>
    </row>
    <row r="300" spans="1:7">
      <c r="A300">
        <v>297</v>
      </c>
      <c r="B300" s="4">
        <f>-PPMT('Owner Occupier'!$D$41/12,'FHA Amotization'!$A300,360,'Owner Occupier'!$D$40,0,0)</f>
        <v>1537.0518516024545</v>
      </c>
      <c r="C300" s="4">
        <f>-IPMT('Owner Occupier'!$D$41/12,'FHA Amotization'!$A300,360,'Owner Occupier'!$D$40,0,0)</f>
        <v>390.27197545836503</v>
      </c>
      <c r="D300" s="4">
        <f t="shared" si="12"/>
        <v>1927.3238270608194</v>
      </c>
      <c r="E300" s="3">
        <f t="shared" si="13"/>
        <v>108657.38827781832</v>
      </c>
      <c r="F300" s="4">
        <f>('Owner Occupier'!$H$24-'Owner Occupier'!$D$52)/('Owner Occupier'!$D$56-'Owner Occupier'!$D$52)*B300</f>
        <v>715.29537947615734</v>
      </c>
      <c r="G300" s="4">
        <f t="shared" si="14"/>
        <v>131756.48312211959</v>
      </c>
    </row>
    <row r="301" spans="1:7">
      <c r="A301">
        <v>298</v>
      </c>
      <c r="B301" s="4">
        <f>-PPMT('Owner Occupier'!$D$41/12,'FHA Amotization'!$A301,360,'Owner Occupier'!$D$40,0,0)</f>
        <v>1542.4955769102132</v>
      </c>
      <c r="C301" s="4">
        <f>-IPMT('Owner Occupier'!$D$41/12,'FHA Amotization'!$A301,360,'Owner Occupier'!$D$40,0,0)</f>
        <v>384.82825015060632</v>
      </c>
      <c r="D301" s="4">
        <f t="shared" si="12"/>
        <v>1927.3238270608194</v>
      </c>
      <c r="E301" s="3">
        <f t="shared" si="13"/>
        <v>107114.89270090811</v>
      </c>
      <c r="F301" s="4">
        <f>('Owner Occupier'!$H$24-'Owner Occupier'!$D$52)/('Owner Occupier'!$D$56-'Owner Occupier'!$D$52)*B301</f>
        <v>717.82871727846884</v>
      </c>
      <c r="G301" s="4">
        <f t="shared" si="14"/>
        <v>132474.31183939805</v>
      </c>
    </row>
    <row r="302" spans="1:7">
      <c r="A302">
        <v>299</v>
      </c>
      <c r="B302" s="4">
        <f>-PPMT('Owner Occupier'!$D$41/12,'FHA Amotization'!$A302,360,'Owner Occupier'!$D$40,0,0)</f>
        <v>1547.9585820784371</v>
      </c>
      <c r="C302" s="4">
        <f>-IPMT('Owner Occupier'!$D$41/12,'FHA Amotization'!$A302,360,'Owner Occupier'!$D$40,0,0)</f>
        <v>379.36524498238265</v>
      </c>
      <c r="D302" s="4">
        <f t="shared" si="12"/>
        <v>1927.3238270608197</v>
      </c>
      <c r="E302" s="3">
        <f t="shared" si="13"/>
        <v>105566.93411882967</v>
      </c>
      <c r="F302" s="4">
        <f>('Owner Occupier'!$H$24-'Owner Occupier'!$D$52)/('Owner Occupier'!$D$56-'Owner Occupier'!$D$52)*B302</f>
        <v>720.3710273188301</v>
      </c>
      <c r="G302" s="4">
        <f t="shared" si="14"/>
        <v>133194.68286671687</v>
      </c>
    </row>
    <row r="303" spans="1:7">
      <c r="A303">
        <v>300</v>
      </c>
      <c r="B303" s="4">
        <f>-PPMT('Owner Occupier'!$D$41/12,'FHA Amotization'!$A303,360,'Owner Occupier'!$D$40,0,0)</f>
        <v>1553.4409353899648</v>
      </c>
      <c r="C303" s="4">
        <f>-IPMT('Owner Occupier'!$D$41/12,'FHA Amotization'!$A303,360,'Owner Occupier'!$D$40,0,0)</f>
        <v>373.88289167085492</v>
      </c>
      <c r="D303" s="4">
        <f t="shared" si="12"/>
        <v>1927.3238270608197</v>
      </c>
      <c r="E303" s="3">
        <f t="shared" si="13"/>
        <v>104013.4931834397</v>
      </c>
      <c r="F303" s="4">
        <f>('Owner Occupier'!$H$24-'Owner Occupier'!$D$52)/('Owner Occupier'!$D$56-'Owner Occupier'!$D$52)*B303</f>
        <v>722.92234137391756</v>
      </c>
      <c r="G303" s="4">
        <f t="shared" si="14"/>
        <v>133917.6052080908</v>
      </c>
    </row>
    <row r="304" spans="1:7">
      <c r="A304">
        <v>301</v>
      </c>
      <c r="B304" s="4">
        <f>-PPMT('Owner Occupier'!$D$41/12,'FHA Amotization'!$A304,360,'Owner Occupier'!$D$40,0,0)</f>
        <v>1558.942705369471</v>
      </c>
      <c r="C304" s="4">
        <f>-IPMT('Owner Occupier'!$D$41/12,'FHA Amotization'!$A304,360,'Owner Occupier'!$D$40,0,0)</f>
        <v>368.38112169134877</v>
      </c>
      <c r="D304" s="4">
        <f t="shared" si="12"/>
        <v>1927.3238270608199</v>
      </c>
      <c r="E304" s="3">
        <f t="shared" si="13"/>
        <v>102454.55047807023</v>
      </c>
      <c r="F304" s="4">
        <f>('Owner Occupier'!$H$24-'Owner Occupier'!$D$52)/('Owner Occupier'!$D$56-'Owner Occupier'!$D$52)*B304</f>
        <v>725.48269133295025</v>
      </c>
      <c r="G304" s="4">
        <f t="shared" si="14"/>
        <v>134643.08789942376</v>
      </c>
    </row>
    <row r="305" spans="1:7">
      <c r="A305">
        <v>302</v>
      </c>
      <c r="B305" s="4">
        <f>-PPMT('Owner Occupier'!$D$41/12,'FHA Amotization'!$A305,360,'Owner Occupier'!$D$40,0,0)</f>
        <v>1564.463960784321</v>
      </c>
      <c r="C305" s="4">
        <f>-IPMT('Owner Occupier'!$D$41/12,'FHA Amotization'!$A305,360,'Owner Occupier'!$D$40,0,0)</f>
        <v>362.85986627649856</v>
      </c>
      <c r="D305" s="4">
        <f t="shared" si="12"/>
        <v>1927.3238270608194</v>
      </c>
      <c r="E305" s="3">
        <f t="shared" si="13"/>
        <v>100890.0865172859</v>
      </c>
      <c r="F305" s="4">
        <f>('Owner Occupier'!$H$24-'Owner Occupier'!$D$52)/('Owner Occupier'!$D$56-'Owner Occupier'!$D$52)*B305</f>
        <v>728.05210919808769</v>
      </c>
      <c r="G305" s="4">
        <f t="shared" si="14"/>
        <v>135371.14000862185</v>
      </c>
    </row>
    <row r="306" spans="1:7">
      <c r="A306">
        <v>303</v>
      </c>
      <c r="B306" s="4">
        <f>-PPMT('Owner Occupier'!$D$41/12,'FHA Amotization'!$A306,360,'Owner Occupier'!$D$40,0,0)</f>
        <v>1570.0047706454322</v>
      </c>
      <c r="C306" s="4">
        <f>-IPMT('Owner Occupier'!$D$41/12,'FHA Amotization'!$A306,360,'Owner Occupier'!$D$40,0,0)</f>
        <v>357.31905641538737</v>
      </c>
      <c r="D306" s="4">
        <f t="shared" si="12"/>
        <v>1927.3238270608197</v>
      </c>
      <c r="E306" s="3">
        <f t="shared" si="13"/>
        <v>99320.08174664047</v>
      </c>
      <c r="F306" s="4">
        <f>('Owner Occupier'!$H$24-'Owner Occupier'!$D$52)/('Owner Occupier'!$D$56-'Owner Occupier'!$D$52)*B306</f>
        <v>730.63062708483096</v>
      </c>
      <c r="G306" s="4">
        <f t="shared" si="14"/>
        <v>136101.77063570669</v>
      </c>
    </row>
    <row r="307" spans="1:7">
      <c r="A307">
        <v>304</v>
      </c>
      <c r="B307" s="4">
        <f>-PPMT('Owner Occupier'!$D$41/12,'FHA Amotization'!$A307,360,'Owner Occupier'!$D$40,0,0)</f>
        <v>1575.5652042081347</v>
      </c>
      <c r="C307" s="4">
        <f>-IPMT('Owner Occupier'!$D$41/12,'FHA Amotization'!$A307,360,'Owner Occupier'!$D$40,0,0)</f>
        <v>351.75862285268488</v>
      </c>
      <c r="D307" s="4">
        <f t="shared" si="12"/>
        <v>1927.3238270608194</v>
      </c>
      <c r="E307" s="3">
        <f t="shared" si="13"/>
        <v>97744.516542432335</v>
      </c>
      <c r="F307" s="4">
        <f>('Owner Occupier'!$H$24-'Owner Occupier'!$D$52)/('Owner Occupier'!$D$56-'Owner Occupier'!$D$52)*B307</f>
        <v>733.21827722242301</v>
      </c>
      <c r="G307" s="4">
        <f t="shared" si="14"/>
        <v>136834.98891292911</v>
      </c>
    </row>
    <row r="308" spans="1:7">
      <c r="A308">
        <v>305</v>
      </c>
      <c r="B308" s="4">
        <f>-PPMT('Owner Occupier'!$D$41/12,'FHA Amotization'!$A308,360,'Owner Occupier'!$D$40,0,0)</f>
        <v>1581.1453309730387</v>
      </c>
      <c r="C308" s="4">
        <f>-IPMT('Owner Occupier'!$D$41/12,'FHA Amotization'!$A308,360,'Owner Occupier'!$D$40,0,0)</f>
        <v>346.17849608778101</v>
      </c>
      <c r="D308" s="4">
        <f t="shared" si="12"/>
        <v>1927.3238270608197</v>
      </c>
      <c r="E308" s="3">
        <f t="shared" si="13"/>
        <v>96163.371211459293</v>
      </c>
      <c r="F308" s="4">
        <f>('Owner Occupier'!$H$24-'Owner Occupier'!$D$52)/('Owner Occupier'!$D$56-'Owner Occupier'!$D$52)*B308</f>
        <v>735.81509195425247</v>
      </c>
      <c r="G308" s="4">
        <f t="shared" si="14"/>
        <v>137570.80400488336</v>
      </c>
    </row>
    <row r="309" spans="1:7">
      <c r="A309">
        <v>306</v>
      </c>
      <c r="B309" s="4">
        <f>-PPMT('Owner Occupier'!$D$41/12,'FHA Amotization'!$A309,360,'Owner Occupier'!$D$40,0,0)</f>
        <v>1586.7452206869013</v>
      </c>
      <c r="C309" s="4">
        <f>-IPMT('Owner Occupier'!$D$41/12,'FHA Amotization'!$A309,360,'Owner Occupier'!$D$40,0,0)</f>
        <v>340.57860637391815</v>
      </c>
      <c r="D309" s="4">
        <f t="shared" si="12"/>
        <v>1927.3238270608194</v>
      </c>
      <c r="E309" s="3">
        <f t="shared" si="13"/>
        <v>94576.625990772387</v>
      </c>
      <c r="F309" s="4">
        <f>('Owner Occupier'!$H$24-'Owner Occupier'!$D$52)/('Owner Occupier'!$D$56-'Owner Occupier'!$D$52)*B309</f>
        <v>738.4211037382571</v>
      </c>
      <c r="G309" s="4">
        <f t="shared" si="14"/>
        <v>138309.22510862161</v>
      </c>
    </row>
    <row r="310" spans="1:7">
      <c r="A310">
        <v>307</v>
      </c>
      <c r="B310" s="4">
        <f>-PPMT('Owner Occupier'!$D$41/12,'FHA Amotization'!$A310,360,'Owner Occupier'!$D$40,0,0)</f>
        <v>1592.364943343501</v>
      </c>
      <c r="C310" s="4">
        <f>-IPMT('Owner Occupier'!$D$41/12,'FHA Amotization'!$A310,360,'Owner Occupier'!$D$40,0,0)</f>
        <v>334.95888371731871</v>
      </c>
      <c r="D310" s="4">
        <f t="shared" si="12"/>
        <v>1927.3238270608197</v>
      </c>
      <c r="E310" s="3">
        <f t="shared" si="13"/>
        <v>92984.261047428881</v>
      </c>
      <c r="F310" s="4">
        <f>('Owner Occupier'!$H$24-'Owner Occupier'!$D$52)/('Owner Occupier'!$D$56-'Owner Occupier'!$D$52)*B310</f>
        <v>741.03634514733017</v>
      </c>
      <c r="G310" s="4">
        <f t="shared" si="14"/>
        <v>139050.26145376894</v>
      </c>
    </row>
    <row r="311" spans="1:7">
      <c r="A311">
        <v>308</v>
      </c>
      <c r="B311" s="4">
        <f>-PPMT('Owner Occupier'!$D$41/12,'FHA Amotization'!$A311,360,'Owner Occupier'!$D$40,0,0)</f>
        <v>1598.0045691845091</v>
      </c>
      <c r="C311" s="4">
        <f>-IPMT('Owner Occupier'!$D$41/12,'FHA Amotization'!$A311,360,'Owner Occupier'!$D$40,0,0)</f>
        <v>329.31925787631042</v>
      </c>
      <c r="D311" s="4">
        <f t="shared" si="12"/>
        <v>1927.3238270608194</v>
      </c>
      <c r="E311" s="3">
        <f t="shared" si="13"/>
        <v>91386.256478244366</v>
      </c>
      <c r="F311" s="4">
        <f>('Owner Occupier'!$H$24-'Owner Occupier'!$D$52)/('Owner Occupier'!$D$56-'Owner Occupier'!$D$52)*B311</f>
        <v>743.66084886972692</v>
      </c>
      <c r="G311" s="4">
        <f t="shared" si="14"/>
        <v>139793.92230263868</v>
      </c>
    </row>
    <row r="312" spans="1:7">
      <c r="A312">
        <v>309</v>
      </c>
      <c r="B312" s="4">
        <f>-PPMT('Owner Occupier'!$D$41/12,'FHA Amotization'!$A312,360,'Owner Occupier'!$D$40,0,0)</f>
        <v>1603.664168700371</v>
      </c>
      <c r="C312" s="4">
        <f>-IPMT('Owner Occupier'!$D$41/12,'FHA Amotization'!$A312,360,'Owner Occupier'!$D$40,0,0)</f>
        <v>323.65965836044865</v>
      </c>
      <c r="D312" s="4">
        <f t="shared" si="12"/>
        <v>1927.3238270608197</v>
      </c>
      <c r="E312" s="3">
        <f t="shared" si="13"/>
        <v>89782.592309543994</v>
      </c>
      <c r="F312" s="4">
        <f>('Owner Occupier'!$H$24-'Owner Occupier'!$D$52)/('Owner Occupier'!$D$56-'Owner Occupier'!$D$52)*B312</f>
        <v>746.29464770947391</v>
      </c>
      <c r="G312" s="4">
        <f t="shared" si="14"/>
        <v>140540.21695034814</v>
      </c>
    </row>
    <row r="313" spans="1:7">
      <c r="A313">
        <v>310</v>
      </c>
      <c r="B313" s="4">
        <f>-PPMT('Owner Occupier'!$D$41/12,'FHA Amotization'!$A313,360,'Owner Occupier'!$D$40,0,0)</f>
        <v>1609.3438126311846</v>
      </c>
      <c r="C313" s="4">
        <f>-IPMT('Owner Occupier'!$D$41/12,'FHA Amotization'!$A313,360,'Owner Occupier'!$D$40,0,0)</f>
        <v>317.98001442963482</v>
      </c>
      <c r="D313" s="4">
        <f t="shared" si="12"/>
        <v>1927.3238270608194</v>
      </c>
      <c r="E313" s="3">
        <f t="shared" si="13"/>
        <v>88173.248496912813</v>
      </c>
      <c r="F313" s="4">
        <f>('Owner Occupier'!$H$24-'Owner Occupier'!$D$52)/('Owner Occupier'!$D$56-'Owner Occupier'!$D$52)*B313</f>
        <v>748.93777458677823</v>
      </c>
      <c r="G313" s="4">
        <f t="shared" si="14"/>
        <v>141289.15472493492</v>
      </c>
    </row>
    <row r="314" spans="1:7">
      <c r="A314">
        <v>311</v>
      </c>
      <c r="B314" s="4">
        <f>-PPMT('Owner Occupier'!$D$41/12,'FHA Amotization'!$A314,360,'Owner Occupier'!$D$40,0,0)</f>
        <v>1615.0435719675868</v>
      </c>
      <c r="C314" s="4">
        <f>-IPMT('Owner Occupier'!$D$41/12,'FHA Amotization'!$A314,360,'Owner Occupier'!$D$40,0,0)</f>
        <v>312.28025509323271</v>
      </c>
      <c r="D314" s="4">
        <f t="shared" si="12"/>
        <v>1927.3238270608194</v>
      </c>
      <c r="E314" s="3">
        <f t="shared" si="13"/>
        <v>86558.204924945225</v>
      </c>
      <c r="F314" s="4">
        <f>('Owner Occupier'!$H$24-'Owner Occupier'!$D$52)/('Owner Occupier'!$D$56-'Owner Occupier'!$D$52)*B314</f>
        <v>751.59026253843979</v>
      </c>
      <c r="G314" s="4">
        <f t="shared" si="14"/>
        <v>142040.74498747336</v>
      </c>
    </row>
    <row r="315" spans="1:7">
      <c r="A315">
        <v>312</v>
      </c>
      <c r="B315" s="4">
        <f>-PPMT('Owner Occupier'!$D$41/12,'FHA Amotization'!$A315,360,'Owner Occupier'!$D$40,0,0)</f>
        <v>1620.763517951639</v>
      </c>
      <c r="C315" s="4">
        <f>-IPMT('Owner Occupier'!$D$41/12,'FHA Amotization'!$A315,360,'Owner Occupier'!$D$40,0,0)</f>
        <v>306.56030910918088</v>
      </c>
      <c r="D315" s="4">
        <f t="shared" si="12"/>
        <v>1927.3238270608199</v>
      </c>
      <c r="E315" s="3">
        <f t="shared" si="13"/>
        <v>84937.441406993588</v>
      </c>
      <c r="F315" s="4">
        <f>('Owner Occupier'!$H$24-'Owner Occupier'!$D$52)/('Owner Occupier'!$D$56-'Owner Occupier'!$D$52)*B315</f>
        <v>754.25214471826348</v>
      </c>
      <c r="G315" s="4">
        <f t="shared" si="14"/>
        <v>142794.99713219161</v>
      </c>
    </row>
    <row r="316" spans="1:7">
      <c r="A316">
        <v>313</v>
      </c>
      <c r="B316" s="4">
        <f>-PPMT('Owner Occupier'!$D$41/12,'FHA Amotization'!$A316,360,'Owner Occupier'!$D$40,0,0)</f>
        <v>1626.5037220777176</v>
      </c>
      <c r="C316" s="4">
        <f>-IPMT('Owner Occupier'!$D$41/12,'FHA Amotization'!$A316,360,'Owner Occupier'!$D$40,0,0)</f>
        <v>300.82010498310217</v>
      </c>
      <c r="D316" s="4">
        <f t="shared" si="12"/>
        <v>1927.3238270608199</v>
      </c>
      <c r="E316" s="3">
        <f t="shared" si="13"/>
        <v>83310.937684915873</v>
      </c>
      <c r="F316" s="4">
        <f>('Owner Occupier'!$H$24-'Owner Occupier'!$D$52)/('Owner Occupier'!$D$56-'Owner Occupier'!$D$52)*B316</f>
        <v>756.92345439747396</v>
      </c>
      <c r="G316" s="4">
        <f t="shared" si="14"/>
        <v>143551.92058658908</v>
      </c>
    </row>
    <row r="317" spans="1:7">
      <c r="A317">
        <v>314</v>
      </c>
      <c r="B317" s="4">
        <f>-PPMT('Owner Occupier'!$D$41/12,'FHA Amotization'!$A317,360,'Owner Occupier'!$D$40,0,0)</f>
        <v>1632.2642560934096</v>
      </c>
      <c r="C317" s="4">
        <f>-IPMT('Owner Occupier'!$D$41/12,'FHA Amotization'!$A317,360,'Owner Occupier'!$D$40,0,0)</f>
        <v>295.0595709674102</v>
      </c>
      <c r="D317" s="4">
        <f t="shared" si="12"/>
        <v>1927.3238270608199</v>
      </c>
      <c r="E317" s="3">
        <f t="shared" si="13"/>
        <v>81678.673428822469</v>
      </c>
      <c r="F317" s="4">
        <f>('Owner Occupier'!$H$24-'Owner Occupier'!$D$52)/('Owner Occupier'!$D$56-'Owner Occupier'!$D$52)*B317</f>
        <v>759.60422496513172</v>
      </c>
      <c r="G317" s="4">
        <f t="shared" si="14"/>
        <v>144311.52481155421</v>
      </c>
    </row>
    <row r="318" spans="1:7">
      <c r="A318">
        <v>315</v>
      </c>
      <c r="B318" s="4">
        <f>-PPMT('Owner Occupier'!$D$41/12,'FHA Amotization'!$A318,360,'Owner Occupier'!$D$40,0,0)</f>
        <v>1638.0451920004068</v>
      </c>
      <c r="C318" s="4">
        <f>-IPMT('Owner Occupier'!$D$41/12,'FHA Amotization'!$A318,360,'Owner Occupier'!$D$40,0,0)</f>
        <v>289.27863506041274</v>
      </c>
      <c r="D318" s="4">
        <f t="shared" si="12"/>
        <v>1927.3238270608194</v>
      </c>
      <c r="E318" s="3">
        <f t="shared" si="13"/>
        <v>80040.628236822056</v>
      </c>
      <c r="F318" s="4">
        <f>('Owner Occupier'!$H$24-'Owner Occupier'!$D$52)/('Owner Occupier'!$D$56-'Owner Occupier'!$D$52)*B318</f>
        <v>762.29448992854975</v>
      </c>
      <c r="G318" s="4">
        <f t="shared" si="14"/>
        <v>145073.81930148276</v>
      </c>
    </row>
    <row r="319" spans="1:7">
      <c r="A319">
        <v>316</v>
      </c>
      <c r="B319" s="4">
        <f>-PPMT('Owner Occupier'!$D$41/12,'FHA Amotization'!$A319,360,'Owner Occupier'!$D$40,0,0)</f>
        <v>1643.8466020554083</v>
      </c>
      <c r="C319" s="4">
        <f>-IPMT('Owner Occupier'!$D$41/12,'FHA Amotization'!$A319,360,'Owner Occupier'!$D$40,0,0)</f>
        <v>283.47722500541124</v>
      </c>
      <c r="D319" s="4">
        <f t="shared" si="12"/>
        <v>1927.3238270608194</v>
      </c>
      <c r="E319" s="3">
        <f t="shared" si="13"/>
        <v>78396.781634766652</v>
      </c>
      <c r="F319" s="4">
        <f>('Owner Occupier'!$H$24-'Owner Occupier'!$D$52)/('Owner Occupier'!$D$56-'Owner Occupier'!$D$52)*B319</f>
        <v>764.99428291371339</v>
      </c>
      <c r="G319" s="4">
        <f t="shared" si="14"/>
        <v>145838.81358439647</v>
      </c>
    </row>
    <row r="320" spans="1:7">
      <c r="A320">
        <v>317</v>
      </c>
      <c r="B320" s="4">
        <f>-PPMT('Owner Occupier'!$D$41/12,'FHA Amotization'!$A320,360,'Owner Occupier'!$D$40,0,0)</f>
        <v>1649.6685587710213</v>
      </c>
      <c r="C320" s="4">
        <f>-IPMT('Owner Occupier'!$D$41/12,'FHA Amotization'!$A320,360,'Owner Occupier'!$D$40,0,0)</f>
        <v>277.65526828979836</v>
      </c>
      <c r="D320" s="4">
        <f t="shared" si="12"/>
        <v>1927.3238270608197</v>
      </c>
      <c r="E320" s="3">
        <f t="shared" si="13"/>
        <v>76747.113075995629</v>
      </c>
      <c r="F320" s="4">
        <f>('Owner Occupier'!$H$24-'Owner Occupier'!$D$52)/('Owner Occupier'!$D$56-'Owner Occupier'!$D$52)*B320</f>
        <v>767.70363766569949</v>
      </c>
      <c r="G320" s="4">
        <f t="shared" si="14"/>
        <v>146606.51722206216</v>
      </c>
    </row>
    <row r="321" spans="1:7">
      <c r="A321">
        <v>318</v>
      </c>
      <c r="B321" s="4">
        <f>-PPMT('Owner Occupier'!$D$41/12,'FHA Amotization'!$A321,360,'Owner Occupier'!$D$40,0,0)</f>
        <v>1655.5111349166687</v>
      </c>
      <c r="C321" s="4">
        <f>-IPMT('Owner Occupier'!$D$41/12,'FHA Amotization'!$A321,360,'Owner Occupier'!$D$40,0,0)</f>
        <v>271.81269214415101</v>
      </c>
      <c r="D321" s="4">
        <f t="shared" si="12"/>
        <v>1927.3238270608197</v>
      </c>
      <c r="E321" s="3">
        <f t="shared" si="13"/>
        <v>75091.601941078959</v>
      </c>
      <c r="F321" s="4">
        <f>('Owner Occupier'!$H$24-'Owner Occupier'!$D$52)/('Owner Occupier'!$D$56-'Owner Occupier'!$D$52)*B321</f>
        <v>770.42258804909886</v>
      </c>
      <c r="G321" s="4">
        <f t="shared" si="14"/>
        <v>147376.93981011125</v>
      </c>
    </row>
    <row r="322" spans="1:7">
      <c r="A322">
        <v>319</v>
      </c>
      <c r="B322" s="4">
        <f>-PPMT('Owner Occupier'!$D$41/12,'FHA Amotization'!$A322,360,'Owner Occupier'!$D$40,0,0)</f>
        <v>1661.3744035194984</v>
      </c>
      <c r="C322" s="4">
        <f>-IPMT('Owner Occupier'!$D$41/12,'FHA Amotization'!$A322,360,'Owner Occupier'!$D$40,0,0)</f>
        <v>265.94942354132115</v>
      </c>
      <c r="D322" s="4">
        <f t="shared" si="12"/>
        <v>1927.3238270608194</v>
      </c>
      <c r="E322" s="3">
        <f t="shared" si="13"/>
        <v>73430.227537559462</v>
      </c>
      <c r="F322" s="4">
        <f>('Owner Occupier'!$H$24-'Owner Occupier'!$D$52)/('Owner Occupier'!$D$56-'Owner Occupier'!$D$52)*B322</f>
        <v>773.15116804843944</v>
      </c>
      <c r="G322" s="4">
        <f t="shared" si="14"/>
        <v>148150.09097815969</v>
      </c>
    </row>
    <row r="323" spans="1:7">
      <c r="A323">
        <v>320</v>
      </c>
      <c r="B323" s="4">
        <f>-PPMT('Owner Occupier'!$D$41/12,'FHA Amotization'!$A323,360,'Owner Occupier'!$D$40,0,0)</f>
        <v>1667.2584378652966</v>
      </c>
      <c r="C323" s="4">
        <f>-IPMT('Owner Occupier'!$D$41/12,'FHA Amotization'!$A323,360,'Owner Occupier'!$D$40,0,0)</f>
        <v>260.06538919552293</v>
      </c>
      <c r="D323" s="4">
        <f t="shared" si="12"/>
        <v>1927.3238270608194</v>
      </c>
      <c r="E323" s="3">
        <f t="shared" si="13"/>
        <v>71762.969099694164</v>
      </c>
      <c r="F323" s="4">
        <f>('Owner Occupier'!$H$24-'Owner Occupier'!$D$52)/('Owner Occupier'!$D$56-'Owner Occupier'!$D$52)*B323</f>
        <v>775.88941176861101</v>
      </c>
      <c r="G323" s="4">
        <f t="shared" si="14"/>
        <v>148925.9803899283</v>
      </c>
    </row>
    <row r="324" spans="1:7">
      <c r="A324">
        <v>321</v>
      </c>
      <c r="B324" s="4">
        <f>-PPMT('Owner Occupier'!$D$41/12,'FHA Amotization'!$A324,360,'Owner Occupier'!$D$40,0,0)</f>
        <v>1673.1633114994029</v>
      </c>
      <c r="C324" s="4">
        <f>-IPMT('Owner Occupier'!$D$41/12,'FHA Amotization'!$A324,360,'Owner Occupier'!$D$40,0,0)</f>
        <v>254.1605155614167</v>
      </c>
      <c r="D324" s="4">
        <f t="shared" si="12"/>
        <v>1927.3238270608197</v>
      </c>
      <c r="E324" s="3">
        <f t="shared" si="13"/>
        <v>70089.805788194761</v>
      </c>
      <c r="F324" s="4">
        <f>('Owner Occupier'!$H$24-'Owner Occupier'!$D$52)/('Owner Occupier'!$D$56-'Owner Occupier'!$D$52)*B324</f>
        <v>778.6373534352914</v>
      </c>
      <c r="G324" s="4">
        <f t="shared" si="14"/>
        <v>149704.6177433636</v>
      </c>
    </row>
    <row r="325" spans="1:7">
      <c r="A325">
        <v>322</v>
      </c>
      <c r="B325" s="4">
        <f>-PPMT('Owner Occupier'!$D$41/12,'FHA Amotization'!$A325,360,'Owner Occupier'!$D$40,0,0)</f>
        <v>1679.0890982276301</v>
      </c>
      <c r="C325" s="4">
        <f>-IPMT('Owner Occupier'!$D$41/12,'FHA Amotization'!$A325,360,'Owner Occupier'!$D$40,0,0)</f>
        <v>248.23472883318965</v>
      </c>
      <c r="D325" s="4">
        <f t="shared" ref="D325:D363" si="15">B325+C325</f>
        <v>1927.3238270608197</v>
      </c>
      <c r="E325" s="3">
        <f t="shared" si="13"/>
        <v>68410.716689967128</v>
      </c>
      <c r="F325" s="4">
        <f>('Owner Occupier'!$H$24-'Owner Occupier'!$D$52)/('Owner Occupier'!$D$56-'Owner Occupier'!$D$52)*B325</f>
        <v>781.39502739537488</v>
      </c>
      <c r="G325" s="4">
        <f t="shared" si="14"/>
        <v>150486.01277075897</v>
      </c>
    </row>
    <row r="326" spans="1:7">
      <c r="A326">
        <v>323</v>
      </c>
      <c r="B326" s="4">
        <f>-PPMT('Owner Occupier'!$D$41/12,'FHA Amotization'!$A326,360,'Owner Occupier'!$D$40,0,0)</f>
        <v>1685.035872117186</v>
      </c>
      <c r="C326" s="4">
        <f>-IPMT('Owner Occupier'!$D$41/12,'FHA Amotization'!$A326,360,'Owner Occupier'!$D$40,0,0)</f>
        <v>242.28795494363345</v>
      </c>
      <c r="D326" s="4">
        <f t="shared" si="15"/>
        <v>1927.3238270608194</v>
      </c>
      <c r="E326" s="3">
        <f t="shared" ref="E326:E363" si="16">E325-B326</f>
        <v>66725.680817849949</v>
      </c>
      <c r="F326" s="4">
        <f>('Owner Occupier'!$H$24-'Owner Occupier'!$D$52)/('Owner Occupier'!$D$56-'Owner Occupier'!$D$52)*B326</f>
        <v>784.16246811740007</v>
      </c>
      <c r="G326" s="4">
        <f t="shared" ref="G326:G363" si="17">F326+G325</f>
        <v>151270.17523887637</v>
      </c>
    </row>
    <row r="327" spans="1:7">
      <c r="A327">
        <v>324</v>
      </c>
      <c r="B327" s="4">
        <f>-PPMT('Owner Occupier'!$D$41/12,'FHA Amotization'!$A327,360,'Owner Occupier'!$D$40,0,0)</f>
        <v>1691.0037074976012</v>
      </c>
      <c r="C327" s="4">
        <f>-IPMT('Owner Occupier'!$D$41/12,'FHA Amotization'!$A327,360,'Owner Occupier'!$D$40,0,0)</f>
        <v>236.32011956321844</v>
      </c>
      <c r="D327" s="4">
        <f t="shared" si="15"/>
        <v>1927.3238270608197</v>
      </c>
      <c r="E327" s="3">
        <f t="shared" si="16"/>
        <v>65034.67711035235</v>
      </c>
      <c r="F327" s="4">
        <f>('Owner Occupier'!$H$24-'Owner Occupier'!$D$52)/('Owner Occupier'!$D$56-'Owner Occupier'!$D$52)*B327</f>
        <v>786.9397101919825</v>
      </c>
      <c r="G327" s="4">
        <f t="shared" si="17"/>
        <v>152057.11494906835</v>
      </c>
    </row>
    <row r="328" spans="1:7">
      <c r="A328">
        <v>325</v>
      </c>
      <c r="B328" s="4">
        <f>-PPMT('Owner Occupier'!$D$41/12,'FHA Amotization'!$A328,360,'Owner Occupier'!$D$40,0,0)</f>
        <v>1696.9926789616552</v>
      </c>
      <c r="C328" s="4">
        <f>-IPMT('Owner Occupier'!$D$41/12,'FHA Amotization'!$A328,360,'Owner Occupier'!$D$40,0,0)</f>
        <v>230.33114809916441</v>
      </c>
      <c r="D328" s="4">
        <f t="shared" si="15"/>
        <v>1927.3238270608197</v>
      </c>
      <c r="E328" s="3">
        <f t="shared" si="16"/>
        <v>63337.684431390691</v>
      </c>
      <c r="F328" s="4">
        <f>('Owner Occupier'!$H$24-'Owner Occupier'!$D$52)/('Owner Occupier'!$D$56-'Owner Occupier'!$D$52)*B328</f>
        <v>789.72678833224586</v>
      </c>
      <c r="G328" s="4">
        <f t="shared" si="17"/>
        <v>152846.84173740059</v>
      </c>
    </row>
    <row r="329" spans="1:7">
      <c r="A329">
        <v>326</v>
      </c>
      <c r="B329" s="4">
        <f>-PPMT('Owner Occupier'!$D$41/12,'FHA Amotization'!$A329,360,'Owner Occupier'!$D$40,0,0)</f>
        <v>1703.002861366311</v>
      </c>
      <c r="C329" s="4">
        <f>-IPMT('Owner Occupier'!$D$41/12,'FHA Amotization'!$A329,360,'Owner Occupier'!$D$40,0,0)</f>
        <v>224.32096569450852</v>
      </c>
      <c r="D329" s="4">
        <f t="shared" si="15"/>
        <v>1927.3238270608194</v>
      </c>
      <c r="E329" s="3">
        <f t="shared" si="16"/>
        <v>61634.681570024382</v>
      </c>
      <c r="F329" s="4">
        <f>('Owner Occupier'!$H$24-'Owner Occupier'!$D$52)/('Owner Occupier'!$D$56-'Owner Occupier'!$D$52)*B329</f>
        <v>792.5237373742558</v>
      </c>
      <c r="G329" s="4">
        <f t="shared" si="17"/>
        <v>153639.36547477485</v>
      </c>
    </row>
    <row r="330" spans="1:7">
      <c r="A330">
        <v>327</v>
      </c>
      <c r="B330" s="4">
        <f>-PPMT('Owner Occupier'!$D$41/12,'FHA Amotization'!$A330,360,'Owner Occupier'!$D$40,0,0)</f>
        <v>1709.03432983365</v>
      </c>
      <c r="C330" s="4">
        <f>-IPMT('Owner Occupier'!$D$41/12,'FHA Amotization'!$A330,360,'Owner Occupier'!$D$40,0,0)</f>
        <v>218.28949722716951</v>
      </c>
      <c r="D330" s="4">
        <f t="shared" si="15"/>
        <v>1927.3238270608194</v>
      </c>
      <c r="E330" s="3">
        <f t="shared" si="16"/>
        <v>59925.64724019073</v>
      </c>
      <c r="F330" s="4">
        <f>('Owner Occupier'!$H$24-'Owner Occupier'!$D$52)/('Owner Occupier'!$D$56-'Owner Occupier'!$D$52)*B330</f>
        <v>795.33059227745628</v>
      </c>
      <c r="G330" s="4">
        <f t="shared" si="17"/>
        <v>154434.69606705231</v>
      </c>
    </row>
    <row r="331" spans="1:7">
      <c r="A331">
        <v>328</v>
      </c>
      <c r="B331" s="4">
        <f>-PPMT('Owner Occupier'!$D$41/12,'FHA Amotization'!$A331,360,'Owner Occupier'!$D$40,0,0)</f>
        <v>1715.0871597518108</v>
      </c>
      <c r="C331" s="4">
        <f>-IPMT('Owner Occupier'!$D$41/12,'FHA Amotization'!$A331,360,'Owner Occupier'!$D$40,0,0)</f>
        <v>212.23666730900868</v>
      </c>
      <c r="D331" s="4">
        <f t="shared" si="15"/>
        <v>1927.3238270608194</v>
      </c>
      <c r="E331" s="3">
        <f t="shared" si="16"/>
        <v>58210.560080438918</v>
      </c>
      <c r="F331" s="4">
        <f>('Owner Occupier'!$H$24-'Owner Occupier'!$D$52)/('Owner Occupier'!$D$56-'Owner Occupier'!$D$52)*B331</f>
        <v>798.14738812510564</v>
      </c>
      <c r="G331" s="4">
        <f t="shared" si="17"/>
        <v>155232.84345517741</v>
      </c>
    </row>
    <row r="332" spans="1:7">
      <c r="A332">
        <v>329</v>
      </c>
      <c r="B332" s="4">
        <f>-PPMT('Owner Occupier'!$D$41/12,'FHA Amotization'!$A332,360,'Owner Occupier'!$D$40,0,0)</f>
        <v>1721.1614267759319</v>
      </c>
      <c r="C332" s="4">
        <f>-IPMT('Owner Occupier'!$D$41/12,'FHA Amotization'!$A332,360,'Owner Occupier'!$D$40,0,0)</f>
        <v>206.16240028488767</v>
      </c>
      <c r="D332" s="4">
        <f t="shared" si="15"/>
        <v>1927.3238270608194</v>
      </c>
      <c r="E332" s="3">
        <f t="shared" si="16"/>
        <v>56489.398653662989</v>
      </c>
      <c r="F332" s="4">
        <f>('Owner Occupier'!$H$24-'Owner Occupier'!$D$52)/('Owner Occupier'!$D$56-'Owner Occupier'!$D$52)*B332</f>
        <v>800.97416012471535</v>
      </c>
      <c r="G332" s="4">
        <f t="shared" si="17"/>
        <v>156033.81761530213</v>
      </c>
    </row>
    <row r="333" spans="1:7">
      <c r="A333">
        <v>330</v>
      </c>
      <c r="B333" s="4">
        <f>-PPMT('Owner Occupier'!$D$41/12,'FHA Amotization'!$A333,360,'Owner Occupier'!$D$40,0,0)</f>
        <v>1727.2572068290967</v>
      </c>
      <c r="C333" s="4">
        <f>-IPMT('Owner Occupier'!$D$41/12,'FHA Amotization'!$A333,360,'Owner Occupier'!$D$40,0,0)</f>
        <v>200.06662023172291</v>
      </c>
      <c r="D333" s="4">
        <f t="shared" si="15"/>
        <v>1927.3238270608197</v>
      </c>
      <c r="E333" s="3">
        <f t="shared" si="16"/>
        <v>54762.141446833892</v>
      </c>
      <c r="F333" s="4">
        <f>('Owner Occupier'!$H$24-'Owner Occupier'!$D$52)/('Owner Occupier'!$D$56-'Owner Occupier'!$D$52)*B333</f>
        <v>803.81094360849045</v>
      </c>
      <c r="G333" s="4">
        <f t="shared" si="17"/>
        <v>156837.62855891063</v>
      </c>
    </row>
    <row r="334" spans="1:7">
      <c r="A334">
        <v>331</v>
      </c>
      <c r="B334" s="4">
        <f>-PPMT('Owner Occupier'!$D$41/12,'FHA Amotization'!$A334,360,'Owner Occupier'!$D$40,0,0)</f>
        <v>1733.3745761032831</v>
      </c>
      <c r="C334" s="4">
        <f>-IPMT('Owner Occupier'!$D$41/12,'FHA Amotization'!$A334,360,'Owner Occupier'!$D$40,0,0)</f>
        <v>193.94925095753652</v>
      </c>
      <c r="D334" s="4">
        <f t="shared" si="15"/>
        <v>1927.3238270608197</v>
      </c>
      <c r="E334" s="3">
        <f t="shared" si="16"/>
        <v>53028.766870730607</v>
      </c>
      <c r="F334" s="4">
        <f>('Owner Occupier'!$H$24-'Owner Occupier'!$D$52)/('Owner Occupier'!$D$56-'Owner Occupier'!$D$52)*B334</f>
        <v>806.65777403377047</v>
      </c>
      <c r="G334" s="4">
        <f t="shared" si="17"/>
        <v>157644.28633294441</v>
      </c>
    </row>
    <row r="335" spans="1:7">
      <c r="A335">
        <v>332</v>
      </c>
      <c r="B335" s="4">
        <f>-PPMT('Owner Occupier'!$D$41/12,'FHA Amotization'!$A335,360,'Owner Occupier'!$D$40,0,0)</f>
        <v>1739.5136110603155</v>
      </c>
      <c r="C335" s="4">
        <f>-IPMT('Owner Occupier'!$D$41/12,'FHA Amotization'!$A335,360,'Owner Occupier'!$D$40,0,0)</f>
        <v>187.81021600050406</v>
      </c>
      <c r="D335" s="4">
        <f t="shared" si="15"/>
        <v>1927.3238270608194</v>
      </c>
      <c r="E335" s="3">
        <f t="shared" si="16"/>
        <v>51289.253259670295</v>
      </c>
      <c r="F335" s="4">
        <f>('Owner Occupier'!$H$24-'Owner Occupier'!$D$52)/('Owner Occupier'!$D$56-'Owner Occupier'!$D$52)*B335</f>
        <v>809.51468698347344</v>
      </c>
      <c r="G335" s="4">
        <f t="shared" si="17"/>
        <v>158453.80101992789</v>
      </c>
    </row>
    <row r="336" spans="1:7">
      <c r="A336">
        <v>333</v>
      </c>
      <c r="B336" s="4">
        <f>-PPMT('Owner Occupier'!$D$41/12,'FHA Amotization'!$A336,360,'Owner Occupier'!$D$40,0,0)</f>
        <v>1745.6743884328209</v>
      </c>
      <c r="C336" s="4">
        <f>-IPMT('Owner Occupier'!$D$41/12,'FHA Amotization'!$A336,360,'Owner Occupier'!$D$40,0,0)</f>
        <v>181.64943862799876</v>
      </c>
      <c r="D336" s="4">
        <f t="shared" si="15"/>
        <v>1927.3238270608197</v>
      </c>
      <c r="E336" s="3">
        <f t="shared" si="16"/>
        <v>49543.578871237471</v>
      </c>
      <c r="F336" s="4">
        <f>('Owner Occupier'!$H$24-'Owner Occupier'!$D$52)/('Owner Occupier'!$D$56-'Owner Occupier'!$D$52)*B336</f>
        <v>812.38171816653994</v>
      </c>
      <c r="G336" s="4">
        <f t="shared" si="17"/>
        <v>159266.18273809445</v>
      </c>
    </row>
    <row r="337" spans="1:7">
      <c r="A337">
        <v>334</v>
      </c>
      <c r="B337" s="4">
        <f>-PPMT('Owner Occupier'!$D$41/12,'FHA Amotization'!$A337,360,'Owner Occupier'!$D$40,0,0)</f>
        <v>1751.8569852251871</v>
      </c>
      <c r="C337" s="4">
        <f>-IPMT('Owner Occupier'!$D$41/12,'FHA Amotization'!$A337,360,'Owner Occupier'!$D$40,0,0)</f>
        <v>175.46684183563258</v>
      </c>
      <c r="D337" s="4">
        <f t="shared" si="15"/>
        <v>1927.3238270608197</v>
      </c>
      <c r="E337" s="3">
        <f t="shared" si="16"/>
        <v>47791.721886012281</v>
      </c>
      <c r="F337" s="4">
        <f>('Owner Occupier'!$H$24-'Owner Occupier'!$D$52)/('Owner Occupier'!$D$56-'Owner Occupier'!$D$52)*B337</f>
        <v>815.25890341837976</v>
      </c>
      <c r="G337" s="4">
        <f t="shared" si="17"/>
        <v>160081.44164151282</v>
      </c>
    </row>
    <row r="338" spans="1:7">
      <c r="A338">
        <v>335</v>
      </c>
      <c r="B338" s="4">
        <f>-PPMT('Owner Occupier'!$D$41/12,'FHA Amotization'!$A338,360,'Owner Occupier'!$D$40,0,0)</f>
        <v>1758.0614787145262</v>
      </c>
      <c r="C338" s="4">
        <f>-IPMT('Owner Occupier'!$D$41/12,'FHA Amotization'!$A338,360,'Owner Occupier'!$D$40,0,0)</f>
        <v>169.26234834629329</v>
      </c>
      <c r="D338" s="4">
        <f t="shared" si="15"/>
        <v>1927.3238270608194</v>
      </c>
      <c r="E338" s="3">
        <f t="shared" si="16"/>
        <v>46033.660407297757</v>
      </c>
      <c r="F338" s="4">
        <f>('Owner Occupier'!$H$24-'Owner Occupier'!$D$52)/('Owner Occupier'!$D$56-'Owner Occupier'!$D$52)*B338</f>
        <v>818.14627870131983</v>
      </c>
      <c r="G338" s="4">
        <f t="shared" si="17"/>
        <v>160899.58792021414</v>
      </c>
    </row>
    <row r="339" spans="1:7">
      <c r="A339">
        <v>336</v>
      </c>
      <c r="B339" s="4">
        <f>-PPMT('Owner Occupier'!$D$41/12,'FHA Amotization'!$A339,360,'Owner Occupier'!$D$40,0,0)</f>
        <v>1764.2879464516404</v>
      </c>
      <c r="C339" s="4">
        <f>-IPMT('Owner Occupier'!$D$41/12,'FHA Amotization'!$A339,360,'Owner Occupier'!$D$40,0,0)</f>
        <v>163.03588060917937</v>
      </c>
      <c r="D339" s="4">
        <f t="shared" si="15"/>
        <v>1927.3238270608199</v>
      </c>
      <c r="E339" s="3">
        <f t="shared" si="16"/>
        <v>44269.37246084612</v>
      </c>
      <c r="F339" s="4">
        <f>('Owner Occupier'!$H$24-'Owner Occupier'!$D$52)/('Owner Occupier'!$D$56-'Owner Occupier'!$D$52)*B339</f>
        <v>821.04388010505374</v>
      </c>
      <c r="G339" s="4">
        <f t="shared" si="17"/>
        <v>161720.63180031918</v>
      </c>
    </row>
    <row r="340" spans="1:7">
      <c r="A340">
        <v>337</v>
      </c>
      <c r="B340" s="4">
        <f>-PPMT('Owner Occupier'!$D$41/12,'FHA Amotization'!$A340,360,'Owner Occupier'!$D$40,0,0)</f>
        <v>1770.53646626199</v>
      </c>
      <c r="C340" s="4">
        <f>-IPMT('Owner Occupier'!$D$41/12,'FHA Amotization'!$A340,360,'Owner Occupier'!$D$40,0,0)</f>
        <v>156.78736079882981</v>
      </c>
      <c r="D340" s="4">
        <f t="shared" si="15"/>
        <v>1927.3238270608199</v>
      </c>
      <c r="E340" s="3">
        <f t="shared" si="16"/>
        <v>42498.835994584129</v>
      </c>
      <c r="F340" s="4">
        <f>('Owner Occupier'!$H$24-'Owner Occupier'!$D$52)/('Owner Occupier'!$D$56-'Owner Occupier'!$D$52)*B340</f>
        <v>823.95174384709253</v>
      </c>
      <c r="G340" s="4">
        <f t="shared" si="17"/>
        <v>162544.58354416626</v>
      </c>
    </row>
    <row r="341" spans="1:7">
      <c r="A341">
        <v>338</v>
      </c>
      <c r="B341" s="4">
        <f>-PPMT('Owner Occupier'!$D$41/12,'FHA Amotization'!$A341,360,'Owner Occupier'!$D$40,0,0)</f>
        <v>1776.8071162466676</v>
      </c>
      <c r="C341" s="4">
        <f>-IPMT('Owner Occupier'!$D$41/12,'FHA Amotization'!$A341,360,'Owner Occupier'!$D$40,0,0)</f>
        <v>150.51671081415193</v>
      </c>
      <c r="D341" s="4">
        <f t="shared" si="15"/>
        <v>1927.3238270608197</v>
      </c>
      <c r="E341" s="3">
        <f t="shared" si="16"/>
        <v>40722.028878337464</v>
      </c>
      <c r="F341" s="4">
        <f>('Owner Occupier'!$H$24-'Owner Occupier'!$D$52)/('Owner Occupier'!$D$56-'Owner Occupier'!$D$52)*B341</f>
        <v>826.86990627321757</v>
      </c>
      <c r="G341" s="4">
        <f t="shared" si="17"/>
        <v>163371.45345043947</v>
      </c>
    </row>
    <row r="342" spans="1:7">
      <c r="A342">
        <v>339</v>
      </c>
      <c r="B342" s="4">
        <f>-PPMT('Owner Occupier'!$D$41/12,'FHA Amotization'!$A342,360,'Owner Occupier'!$D$40,0,0)</f>
        <v>1783.0999747833748</v>
      </c>
      <c r="C342" s="4">
        <f>-IPMT('Owner Occupier'!$D$41/12,'FHA Amotization'!$A342,360,'Owner Occupier'!$D$40,0,0)</f>
        <v>144.22385227744499</v>
      </c>
      <c r="D342" s="4">
        <f t="shared" si="15"/>
        <v>1927.3238270608199</v>
      </c>
      <c r="E342" s="3">
        <f t="shared" si="16"/>
        <v>38938.928903554086</v>
      </c>
      <c r="F342" s="4">
        <f>('Owner Occupier'!$H$24-'Owner Occupier'!$D$52)/('Owner Occupier'!$D$56-'Owner Occupier'!$D$52)*B342</f>
        <v>829.79840385793534</v>
      </c>
      <c r="G342" s="4">
        <f t="shared" si="17"/>
        <v>164201.25185429741</v>
      </c>
    </row>
    <row r="343" spans="1:7">
      <c r="A343">
        <v>340</v>
      </c>
      <c r="B343" s="4">
        <f>-PPMT('Owner Occupier'!$D$41/12,'FHA Amotization'!$A343,360,'Owner Occupier'!$D$40,0,0)</f>
        <v>1789.4151205273993</v>
      </c>
      <c r="C343" s="4">
        <f>-IPMT('Owner Occupier'!$D$41/12,'FHA Amotization'!$A343,360,'Owner Occupier'!$D$40,0,0)</f>
        <v>137.90870653342054</v>
      </c>
      <c r="D343" s="4">
        <f t="shared" si="15"/>
        <v>1927.3238270608199</v>
      </c>
      <c r="E343" s="3">
        <f t="shared" si="16"/>
        <v>37149.51378302669</v>
      </c>
      <c r="F343" s="4">
        <f>('Owner Occupier'!$H$24-'Owner Occupier'!$D$52)/('Owner Occupier'!$D$56-'Owner Occupier'!$D$52)*B343</f>
        <v>832.73727320493219</v>
      </c>
      <c r="G343" s="4">
        <f t="shared" si="17"/>
        <v>165033.98912750234</v>
      </c>
    </row>
    <row r="344" spans="1:7">
      <c r="A344">
        <v>341</v>
      </c>
      <c r="B344" s="4">
        <f>-PPMT('Owner Occupier'!$D$41/12,'FHA Amotization'!$A344,360,'Owner Occupier'!$D$40,0,0)</f>
        <v>1795.7526324126004</v>
      </c>
      <c r="C344" s="4">
        <f>-IPMT('Owner Occupier'!$D$41/12,'FHA Amotization'!$A344,360,'Owner Occupier'!$D$40,0,0)</f>
        <v>131.57119464821932</v>
      </c>
      <c r="D344" s="4">
        <f t="shared" si="15"/>
        <v>1927.3238270608197</v>
      </c>
      <c r="E344" s="3">
        <f t="shared" si="16"/>
        <v>35353.761150614089</v>
      </c>
      <c r="F344" s="4">
        <f>('Owner Occupier'!$H$24-'Owner Occupier'!$D$52)/('Owner Occupier'!$D$56-'Owner Occupier'!$D$52)*B344</f>
        <v>835.68655104753293</v>
      </c>
      <c r="G344" s="4">
        <f t="shared" si="17"/>
        <v>165869.67567854989</v>
      </c>
    </row>
    <row r="345" spans="1:7">
      <c r="A345">
        <v>342</v>
      </c>
      <c r="B345" s="4">
        <f>-PPMT('Owner Occupier'!$D$41/12,'FHA Amotization'!$A345,360,'Owner Occupier'!$D$40,0,0)</f>
        <v>1802.1125896523949</v>
      </c>
      <c r="C345" s="4">
        <f>-IPMT('Owner Occupier'!$D$41/12,'FHA Amotization'!$A345,360,'Owner Occupier'!$D$40,0,0)</f>
        <v>125.21123740842468</v>
      </c>
      <c r="D345" s="4">
        <f t="shared" si="15"/>
        <v>1927.3238270608197</v>
      </c>
      <c r="E345" s="3">
        <f t="shared" si="16"/>
        <v>33551.648560961694</v>
      </c>
      <c r="F345" s="4">
        <f>('Owner Occupier'!$H$24-'Owner Occupier'!$D$52)/('Owner Occupier'!$D$56-'Owner Occupier'!$D$52)*B345</f>
        <v>838.64627424915955</v>
      </c>
      <c r="G345" s="4">
        <f t="shared" si="17"/>
        <v>166708.32195279904</v>
      </c>
    </row>
    <row r="346" spans="1:7">
      <c r="A346">
        <v>343</v>
      </c>
      <c r="B346" s="4">
        <f>-PPMT('Owner Occupier'!$D$41/12,'FHA Amotization'!$A346,360,'Owner Occupier'!$D$40,0,0)</f>
        <v>1808.4950717407471</v>
      </c>
      <c r="C346" s="4">
        <f>-IPMT('Owner Occupier'!$D$41/12,'FHA Amotization'!$A346,360,'Owner Occupier'!$D$40,0,0)</f>
        <v>118.82875532007247</v>
      </c>
      <c r="D346" s="4">
        <f t="shared" si="15"/>
        <v>1927.3238270608197</v>
      </c>
      <c r="E346" s="3">
        <f t="shared" si="16"/>
        <v>31743.153489220946</v>
      </c>
      <c r="F346" s="4">
        <f>('Owner Occupier'!$H$24-'Owner Occupier'!$D$52)/('Owner Occupier'!$D$56-'Owner Occupier'!$D$52)*B346</f>
        <v>841.616479803792</v>
      </c>
      <c r="G346" s="4">
        <f t="shared" si="17"/>
        <v>167549.93843260282</v>
      </c>
    </row>
    <row r="347" spans="1:7">
      <c r="A347">
        <v>344</v>
      </c>
      <c r="B347" s="4">
        <f>-PPMT('Owner Occupier'!$D$41/12,'FHA Amotization'!$A347,360,'Owner Occupier'!$D$40,0,0)</f>
        <v>1814.9001584531622</v>
      </c>
      <c r="C347" s="4">
        <f>-IPMT('Owner Occupier'!$D$41/12,'FHA Amotization'!$A347,360,'Owner Occupier'!$D$40,0,0)</f>
        <v>112.42366860765732</v>
      </c>
      <c r="D347" s="4">
        <f t="shared" si="15"/>
        <v>1927.3238270608197</v>
      </c>
      <c r="E347" s="3">
        <f t="shared" si="16"/>
        <v>29928.253330767784</v>
      </c>
      <c r="F347" s="4">
        <f>('Owner Occupier'!$H$24-'Owner Occupier'!$D$52)/('Owner Occupier'!$D$56-'Owner Occupier'!$D$52)*B347</f>
        <v>844.59720483643036</v>
      </c>
      <c r="G347" s="4">
        <f t="shared" si="17"/>
        <v>168394.53563743926</v>
      </c>
    </row>
    <row r="348" spans="1:7">
      <c r="A348">
        <v>345</v>
      </c>
      <c r="B348" s="4">
        <f>-PPMT('Owner Occupier'!$D$41/12,'FHA Amotization'!$A348,360,'Owner Occupier'!$D$40,0,0)</f>
        <v>1821.3279298476839</v>
      </c>
      <c r="C348" s="4">
        <f>-IPMT('Owner Occupier'!$D$41/12,'FHA Amotization'!$A348,360,'Owner Occupier'!$D$40,0,0)</f>
        <v>105.99589721313571</v>
      </c>
      <c r="D348" s="4">
        <f t="shared" si="15"/>
        <v>1927.3238270608197</v>
      </c>
      <c r="E348" s="3">
        <f t="shared" si="16"/>
        <v>28106.925400920099</v>
      </c>
      <c r="F348" s="4">
        <f>('Owner Occupier'!$H$24-'Owner Occupier'!$D$52)/('Owner Occupier'!$D$56-'Owner Occupier'!$D$52)*B348</f>
        <v>847.58848660355943</v>
      </c>
      <c r="G348" s="4">
        <f t="shared" si="17"/>
        <v>169242.12412404281</v>
      </c>
    </row>
    <row r="349" spans="1:7">
      <c r="A349">
        <v>346</v>
      </c>
      <c r="B349" s="4">
        <f>-PPMT('Owner Occupier'!$D$41/12,'FHA Amotization'!$A349,360,'Owner Occupier'!$D$40,0,0)</f>
        <v>1827.7784662658944</v>
      </c>
      <c r="C349" s="4">
        <f>-IPMT('Owner Occupier'!$D$41/12,'FHA Amotization'!$A349,360,'Owner Occupier'!$D$40,0,0)</f>
        <v>99.545360794925159</v>
      </c>
      <c r="D349" s="4">
        <f t="shared" si="15"/>
        <v>1927.3238270608194</v>
      </c>
      <c r="E349" s="3">
        <f t="shared" si="16"/>
        <v>26279.146934654204</v>
      </c>
      <c r="F349" s="4">
        <f>('Owner Occupier'!$H$24-'Owner Occupier'!$D$52)/('Owner Occupier'!$D$56-'Owner Occupier'!$D$52)*B349</f>
        <v>850.59036249361372</v>
      </c>
      <c r="G349" s="4">
        <f t="shared" si="17"/>
        <v>170092.71448653642</v>
      </c>
    </row>
    <row r="350" spans="1:7">
      <c r="A350">
        <v>347</v>
      </c>
      <c r="B350" s="4">
        <f>-PPMT('Owner Occupier'!$D$41/12,'FHA Amotization'!$A350,360,'Owner Occupier'!$D$40,0,0)</f>
        <v>1834.2518483339195</v>
      </c>
      <c r="C350" s="4">
        <f>-IPMT('Owner Occupier'!$D$41/12,'FHA Amotization'!$A350,360,'Owner Occupier'!$D$40,0,0)</f>
        <v>93.071978726900099</v>
      </c>
      <c r="D350" s="4">
        <f t="shared" si="15"/>
        <v>1927.3238270608197</v>
      </c>
      <c r="E350" s="3">
        <f t="shared" si="16"/>
        <v>24444.895086320284</v>
      </c>
      <c r="F350" s="4">
        <f>('Owner Occupier'!$H$24-'Owner Occupier'!$D$52)/('Owner Occupier'!$D$56-'Owner Occupier'!$D$52)*B350</f>
        <v>853.60287002744531</v>
      </c>
      <c r="G350" s="4">
        <f t="shared" si="17"/>
        <v>170946.31735656387</v>
      </c>
    </row>
    <row r="351" spans="1:7">
      <c r="A351">
        <v>348</v>
      </c>
      <c r="B351" s="4">
        <f>-PPMT('Owner Occupier'!$D$41/12,'FHA Amotization'!$A351,360,'Owner Occupier'!$D$40,0,0)</f>
        <v>1840.7481569634356</v>
      </c>
      <c r="C351" s="4">
        <f>-IPMT('Owner Occupier'!$D$41/12,'FHA Amotization'!$A351,360,'Owner Occupier'!$D$40,0,0)</f>
        <v>86.575670097384133</v>
      </c>
      <c r="D351" s="4">
        <f t="shared" si="15"/>
        <v>1927.3238270608197</v>
      </c>
      <c r="E351" s="3">
        <f t="shared" si="16"/>
        <v>22604.146929356848</v>
      </c>
      <c r="F351" s="4">
        <f>('Owner Occupier'!$H$24-'Owner Occupier'!$D$52)/('Owner Occupier'!$D$56-'Owner Occupier'!$D$52)*B351</f>
        <v>856.62604685879251</v>
      </c>
      <c r="G351" s="4">
        <f t="shared" si="17"/>
        <v>171802.94340342266</v>
      </c>
    </row>
    <row r="352" spans="1:7">
      <c r="A352">
        <v>349</v>
      </c>
      <c r="B352" s="4">
        <f>-PPMT('Owner Occupier'!$D$41/12,'FHA Amotization'!$A352,360,'Owner Occupier'!$D$40,0,0)</f>
        <v>1847.267473352681</v>
      </c>
      <c r="C352" s="4">
        <f>-IPMT('Owner Occupier'!$D$41/12,'FHA Amotization'!$A352,360,'Owner Occupier'!$D$40,0,0)</f>
        <v>80.05635370813863</v>
      </c>
      <c r="D352" s="4">
        <f t="shared" si="15"/>
        <v>1927.3238270608197</v>
      </c>
      <c r="E352" s="3">
        <f t="shared" si="16"/>
        <v>20756.879456004168</v>
      </c>
      <c r="F352" s="4">
        <f>('Owner Occupier'!$H$24-'Owner Occupier'!$D$52)/('Owner Occupier'!$D$56-'Owner Occupier'!$D$52)*B352</f>
        <v>859.65993077475071</v>
      </c>
      <c r="G352" s="4">
        <f t="shared" si="17"/>
        <v>172662.6033341974</v>
      </c>
    </row>
    <row r="353" spans="1:7">
      <c r="A353">
        <v>350</v>
      </c>
      <c r="B353" s="4">
        <f>-PPMT('Owner Occupier'!$D$41/12,'FHA Amotization'!$A353,360,'Owner Occupier'!$D$40,0,0)</f>
        <v>1853.8098789874718</v>
      </c>
      <c r="C353" s="4">
        <f>-IPMT('Owner Occupier'!$D$41/12,'FHA Amotization'!$A353,360,'Owner Occupier'!$D$40,0,0)</f>
        <v>73.51394807334789</v>
      </c>
      <c r="D353" s="4">
        <f t="shared" si="15"/>
        <v>1927.3238270608197</v>
      </c>
      <c r="E353" s="3">
        <f t="shared" si="16"/>
        <v>18903.069577016697</v>
      </c>
      <c r="F353" s="4">
        <f>('Owner Occupier'!$H$24-'Owner Occupier'!$D$52)/('Owner Occupier'!$D$56-'Owner Occupier'!$D$52)*B353</f>
        <v>862.7045596962447</v>
      </c>
      <c r="G353" s="4">
        <f t="shared" si="17"/>
        <v>173525.30789389365</v>
      </c>
    </row>
    <row r="354" spans="1:7">
      <c r="A354">
        <v>351</v>
      </c>
      <c r="B354" s="4">
        <f>-PPMT('Owner Occupier'!$D$41/12,'FHA Amotization'!$A354,360,'Owner Occupier'!$D$40,0,0)</f>
        <v>1860.3754556422191</v>
      </c>
      <c r="C354" s="4">
        <f>-IPMT('Owner Occupier'!$D$41/12,'FHA Amotization'!$A354,360,'Owner Occupier'!$D$40,0,0)</f>
        <v>66.948371418600601</v>
      </c>
      <c r="D354" s="4">
        <f t="shared" si="15"/>
        <v>1927.3238270608197</v>
      </c>
      <c r="E354" s="3">
        <f t="shared" si="16"/>
        <v>17042.694121374479</v>
      </c>
      <c r="F354" s="4">
        <f>('Owner Occupier'!$H$24-'Owner Occupier'!$D$52)/('Owner Occupier'!$D$56-'Owner Occupier'!$D$52)*B354</f>
        <v>865.75997167850221</v>
      </c>
      <c r="G354" s="4">
        <f t="shared" si="17"/>
        <v>174391.06786557214</v>
      </c>
    </row>
    <row r="355" spans="1:7">
      <c r="A355">
        <v>352</v>
      </c>
      <c r="B355" s="4">
        <f>-PPMT('Owner Occupier'!$D$41/12,'FHA Amotization'!$A355,360,'Owner Occupier'!$D$40,0,0)</f>
        <v>1866.9642853809519</v>
      </c>
      <c r="C355" s="4">
        <f>-IPMT('Owner Occupier'!$D$41/12,'FHA Amotization'!$A355,360,'Owner Occupier'!$D$40,0,0)</f>
        <v>60.359541679867732</v>
      </c>
      <c r="D355" s="4">
        <f t="shared" si="15"/>
        <v>1927.3238270608197</v>
      </c>
      <c r="E355" s="3">
        <f t="shared" si="16"/>
        <v>15175.729835993527</v>
      </c>
      <c r="F355" s="4">
        <f>('Owner Occupier'!$H$24-'Owner Occupier'!$D$52)/('Owner Occupier'!$D$56-'Owner Occupier'!$D$52)*B355</f>
        <v>868.82620491153011</v>
      </c>
      <c r="G355" s="4">
        <f t="shared" si="17"/>
        <v>175259.89407048369</v>
      </c>
    </row>
    <row r="356" spans="1:7">
      <c r="A356">
        <v>353</v>
      </c>
      <c r="B356" s="4">
        <f>-PPMT('Owner Occupier'!$D$41/12,'FHA Amotization'!$A356,360,'Owner Occupier'!$D$40,0,0)</f>
        <v>1873.5764505583427</v>
      </c>
      <c r="C356" s="4">
        <f>-IPMT('Owner Occupier'!$D$41/12,'FHA Amotization'!$A356,360,'Owner Occupier'!$D$40,0,0)</f>
        <v>53.747376502476868</v>
      </c>
      <c r="D356" s="4">
        <f t="shared" si="15"/>
        <v>1927.3238270608194</v>
      </c>
      <c r="E356" s="3">
        <f t="shared" si="16"/>
        <v>13302.153385435184</v>
      </c>
      <c r="F356" s="4">
        <f>('Owner Occupier'!$H$24-'Owner Occupier'!$D$52)/('Owner Occupier'!$D$56-'Owner Occupier'!$D$52)*B356</f>
        <v>871.90329772059181</v>
      </c>
      <c r="G356" s="4">
        <f t="shared" si="17"/>
        <v>176131.79736820428</v>
      </c>
    </row>
    <row r="357" spans="1:7">
      <c r="A357">
        <v>354</v>
      </c>
      <c r="B357" s="4">
        <f>-PPMT('Owner Occupier'!$D$41/12,'FHA Amotization'!$A357,360,'Owner Occupier'!$D$40,0,0)</f>
        <v>1880.2120338207369</v>
      </c>
      <c r="C357" s="4">
        <f>-IPMT('Owner Occupier'!$D$41/12,'FHA Amotization'!$A357,360,'Owner Occupier'!$D$40,0,0)</f>
        <v>47.11179324008274</v>
      </c>
      <c r="D357" s="4">
        <f t="shared" si="15"/>
        <v>1927.3238270608197</v>
      </c>
      <c r="E357" s="3">
        <f t="shared" si="16"/>
        <v>11421.941351614447</v>
      </c>
      <c r="F357" s="4">
        <f>('Owner Occupier'!$H$24-'Owner Occupier'!$D$52)/('Owner Occupier'!$D$56-'Owner Occupier'!$D$52)*B357</f>
        <v>874.99128856668563</v>
      </c>
      <c r="G357" s="4">
        <f t="shared" si="17"/>
        <v>177006.78865677098</v>
      </c>
    </row>
    <row r="358" spans="1:7">
      <c r="A358">
        <v>355</v>
      </c>
      <c r="B358" s="4">
        <f>-PPMT('Owner Occupier'!$D$41/12,'FHA Amotization'!$A358,360,'Owner Occupier'!$D$40,0,0)</f>
        <v>1886.8711181071851</v>
      </c>
      <c r="C358" s="4">
        <f>-IPMT('Owner Occupier'!$D$41/12,'FHA Amotization'!$A358,360,'Owner Occupier'!$D$40,0,0)</f>
        <v>40.452708953634293</v>
      </c>
      <c r="D358" s="4">
        <f t="shared" si="15"/>
        <v>1927.3238270608194</v>
      </c>
      <c r="E358" s="3">
        <f t="shared" si="16"/>
        <v>9535.0702335072619</v>
      </c>
      <c r="F358" s="4">
        <f>('Owner Occupier'!$H$24-'Owner Occupier'!$D$52)/('Owner Occupier'!$D$56-'Owner Occupier'!$D$52)*B358</f>
        <v>878.09021604702582</v>
      </c>
      <c r="G358" s="4">
        <f t="shared" si="17"/>
        <v>177884.87887281799</v>
      </c>
    </row>
    <row r="359" spans="1:7">
      <c r="A359">
        <v>356</v>
      </c>
      <c r="B359" s="4">
        <f>-PPMT('Owner Occupier'!$D$41/12,'FHA Amotization'!$A359,360,'Owner Occupier'!$D$40,0,0)</f>
        <v>1893.5537866504817</v>
      </c>
      <c r="C359" s="4">
        <f>-IPMT('Owner Occupier'!$D$41/12,'FHA Amotization'!$A359,360,'Owner Occupier'!$D$40,0,0)</f>
        <v>33.770040410338012</v>
      </c>
      <c r="D359" s="4">
        <f t="shared" si="15"/>
        <v>1927.3238270608197</v>
      </c>
      <c r="E359" s="3">
        <f t="shared" si="16"/>
        <v>7641.51644685678</v>
      </c>
      <c r="F359" s="4">
        <f>('Owner Occupier'!$H$24-'Owner Occupier'!$D$52)/('Owner Occupier'!$D$56-'Owner Occupier'!$D$52)*B359</f>
        <v>881.20011889552586</v>
      </c>
      <c r="G359" s="4">
        <f t="shared" si="17"/>
        <v>178766.07899171353</v>
      </c>
    </row>
    <row r="360" spans="1:7">
      <c r="A360">
        <v>357</v>
      </c>
      <c r="B360" s="4">
        <f>-PPMT('Owner Occupier'!$D$41/12,'FHA Amotization'!$A360,360,'Owner Occupier'!$D$40,0,0)</f>
        <v>1900.2601229782022</v>
      </c>
      <c r="C360" s="4">
        <f>-IPMT('Owner Occupier'!$D$41/12,'FHA Amotization'!$A360,360,'Owner Occupier'!$D$40,0,0)</f>
        <v>27.063704082617551</v>
      </c>
      <c r="D360" s="4">
        <f t="shared" si="15"/>
        <v>1927.3238270608197</v>
      </c>
      <c r="E360" s="3">
        <f t="shared" si="16"/>
        <v>5741.2563238785779</v>
      </c>
      <c r="F360" s="4">
        <f>('Owner Occupier'!$H$24-'Owner Occupier'!$D$52)/('Owner Occupier'!$D$56-'Owner Occupier'!$D$52)*B360</f>
        <v>884.32103598328081</v>
      </c>
      <c r="G360" s="4">
        <f t="shared" si="17"/>
        <v>179650.4000276968</v>
      </c>
    </row>
    <row r="361" spans="1:7">
      <c r="A361">
        <v>358</v>
      </c>
      <c r="B361" s="4">
        <f>-PPMT('Owner Occupier'!$D$41/12,'FHA Amotization'!$A361,360,'Owner Occupier'!$D$40,0,0)</f>
        <v>1906.9902109137497</v>
      </c>
      <c r="C361" s="4">
        <f>-IPMT('Owner Occupier'!$D$41/12,'FHA Amotization'!$A361,360,'Owner Occupier'!$D$40,0,0)</f>
        <v>20.333616147069751</v>
      </c>
      <c r="D361" s="4">
        <f t="shared" si="15"/>
        <v>1927.3238270608194</v>
      </c>
      <c r="E361" s="3">
        <f t="shared" si="16"/>
        <v>3834.2661129648282</v>
      </c>
      <c r="F361" s="4">
        <f>('Owner Occupier'!$H$24-'Owner Occupier'!$D$52)/('Owner Occupier'!$D$56-'Owner Occupier'!$D$52)*B361</f>
        <v>887.45300631905479</v>
      </c>
      <c r="G361" s="4">
        <f t="shared" si="17"/>
        <v>180537.85303401586</v>
      </c>
    </row>
    <row r="362" spans="1:7">
      <c r="A362">
        <v>359</v>
      </c>
      <c r="B362" s="4">
        <f>-PPMT('Owner Occupier'!$D$41/12,'FHA Amotization'!$A362,360,'Owner Occupier'!$D$40,0,0)</f>
        <v>1913.744134577403</v>
      </c>
      <c r="C362" s="4">
        <f>-IPMT('Owner Occupier'!$D$41/12,'FHA Amotization'!$A362,360,'Owner Occupier'!$D$40,0,0)</f>
        <v>13.579692483416887</v>
      </c>
      <c r="D362" s="4">
        <f t="shared" si="15"/>
        <v>1927.3238270608199</v>
      </c>
      <c r="E362" s="3">
        <f t="shared" si="16"/>
        <v>1920.5219783874252</v>
      </c>
      <c r="F362" s="4">
        <f>('Owner Occupier'!$H$24-'Owner Occupier'!$D$52)/('Owner Occupier'!$D$56-'Owner Occupier'!$D$52)*B362</f>
        <v>890.5960690497684</v>
      </c>
      <c r="G362" s="4">
        <f t="shared" si="17"/>
        <v>181428.44910306562</v>
      </c>
    </row>
    <row r="363" spans="1:7">
      <c r="A363">
        <v>360</v>
      </c>
      <c r="B363" s="4">
        <f>-PPMT('Owner Occupier'!$D$41/12,'FHA Amotization'!$A363,360,'Owner Occupier'!$D$40,0,0)</f>
        <v>1920.5219783873642</v>
      </c>
      <c r="C363" s="4">
        <f>-IPMT('Owner Occupier'!$D$41/12,'FHA Amotization'!$A363,360,'Owner Occupier'!$D$40,0,0)</f>
        <v>6.8018486734552495</v>
      </c>
      <c r="D363" s="4">
        <f t="shared" si="15"/>
        <v>1927.3238270608194</v>
      </c>
      <c r="E363" s="3">
        <f t="shared" si="16"/>
        <v>6.0936145018786192E-11</v>
      </c>
      <c r="F363" s="4">
        <f>('Owner Occupier'!$H$24-'Owner Occupier'!$D$52)/('Owner Occupier'!$D$56-'Owner Occupier'!$D$52)*B363</f>
        <v>893.75026346098616</v>
      </c>
      <c r="G363" s="4">
        <f t="shared" si="17"/>
        <v>182322.19936652662</v>
      </c>
    </row>
  </sheetData>
  <mergeCells count="1">
    <mergeCell ref="A1:C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49339-C2F6-4859-81D6-DADD0DC5A7C3}">
  <sheetPr codeName="Sheet3"/>
  <dimension ref="A1:J31"/>
  <sheetViews>
    <sheetView workbookViewId="0">
      <selection activeCell="N10" sqref="N10"/>
    </sheetView>
  </sheetViews>
  <sheetFormatPr defaultRowHeight="14.25"/>
  <cols>
    <col min="3" max="3" width="12.7109375" bestFit="1" customWidth="1"/>
    <col min="5" max="5" width="22.42578125" bestFit="1" customWidth="1"/>
  </cols>
  <sheetData>
    <row r="1" spans="1:10">
      <c r="A1" t="s">
        <v>137</v>
      </c>
      <c r="C1" t="s">
        <v>138</v>
      </c>
      <c r="E1" t="s">
        <v>139</v>
      </c>
      <c r="F1" t="s">
        <v>140</v>
      </c>
    </row>
    <row r="2" spans="1:10">
      <c r="A2" s="2">
        <v>0</v>
      </c>
      <c r="C2" s="2">
        <v>0.01</v>
      </c>
      <c r="E2" s="6">
        <v>0</v>
      </c>
      <c r="F2" s="2">
        <v>0</v>
      </c>
      <c r="H2">
        <v>1</v>
      </c>
      <c r="J2" t="s">
        <v>141</v>
      </c>
    </row>
    <row r="3" spans="1:10">
      <c r="A3" s="6">
        <v>3.5000000000000003E-2</v>
      </c>
      <c r="C3" s="2">
        <v>0.02</v>
      </c>
      <c r="E3" s="6">
        <v>0.01</v>
      </c>
      <c r="F3" s="2">
        <v>0.01</v>
      </c>
      <c r="H3">
        <v>2</v>
      </c>
      <c r="J3" t="s">
        <v>126</v>
      </c>
    </row>
    <row r="4" spans="1:10">
      <c r="A4" s="2">
        <v>0.05</v>
      </c>
      <c r="C4" s="2">
        <v>0.03</v>
      </c>
      <c r="E4" s="6">
        <v>1.4999999999999999E-2</v>
      </c>
      <c r="F4" s="2">
        <v>0.02</v>
      </c>
      <c r="H4">
        <v>3</v>
      </c>
    </row>
    <row r="5" spans="1:10">
      <c r="A5" s="2">
        <v>0.1</v>
      </c>
      <c r="C5" s="2">
        <v>0.04</v>
      </c>
      <c r="E5" s="6">
        <v>0.02</v>
      </c>
      <c r="F5" s="2">
        <v>0.03</v>
      </c>
      <c r="H5">
        <v>4</v>
      </c>
    </row>
    <row r="6" spans="1:10">
      <c r="A6" s="2">
        <v>0.15</v>
      </c>
      <c r="C6" s="2">
        <v>0.05</v>
      </c>
      <c r="E6" s="6">
        <v>0.03</v>
      </c>
      <c r="F6" s="2">
        <v>0.04</v>
      </c>
      <c r="H6">
        <v>5</v>
      </c>
    </row>
    <row r="7" spans="1:10">
      <c r="A7" s="2">
        <v>0.2</v>
      </c>
      <c r="C7" s="2">
        <v>0.06</v>
      </c>
      <c r="E7" s="6">
        <v>0.04</v>
      </c>
      <c r="F7" s="2">
        <v>0.05</v>
      </c>
      <c r="H7">
        <v>6</v>
      </c>
    </row>
    <row r="8" spans="1:10">
      <c r="A8" s="2">
        <v>0.25</v>
      </c>
      <c r="C8" s="2">
        <v>7.0000000000000007E-2</v>
      </c>
      <c r="E8" s="6">
        <v>0.05</v>
      </c>
      <c r="F8" s="2">
        <v>0.06</v>
      </c>
      <c r="H8">
        <v>7</v>
      </c>
    </row>
    <row r="9" spans="1:10">
      <c r="A9" s="2">
        <v>0.3</v>
      </c>
      <c r="C9" s="2">
        <v>0.08</v>
      </c>
      <c r="E9" s="6">
        <v>0.06</v>
      </c>
      <c r="F9" s="2">
        <v>7.0000000000000007E-2</v>
      </c>
      <c r="H9">
        <v>8</v>
      </c>
    </row>
    <row r="10" spans="1:10">
      <c r="A10" s="2">
        <v>0.35</v>
      </c>
      <c r="C10" s="2">
        <v>0.09</v>
      </c>
      <c r="E10" s="6">
        <v>7.0000000000000007E-2</v>
      </c>
      <c r="F10" s="2">
        <v>0.08</v>
      </c>
      <c r="H10">
        <v>9</v>
      </c>
    </row>
    <row r="11" spans="1:10">
      <c r="A11" s="2">
        <f>A10+0.05</f>
        <v>0.39999999999999997</v>
      </c>
      <c r="C11" s="2">
        <v>0.1</v>
      </c>
      <c r="E11" s="6">
        <v>0.08</v>
      </c>
      <c r="F11" s="2">
        <v>0.09</v>
      </c>
      <c r="H11">
        <v>10</v>
      </c>
    </row>
    <row r="12" spans="1:10">
      <c r="A12" s="2">
        <f t="shared" ref="A12:A22" si="0">A11+0.05</f>
        <v>0.44999999999999996</v>
      </c>
      <c r="F12" s="2">
        <v>0.1</v>
      </c>
      <c r="H12">
        <v>11</v>
      </c>
    </row>
    <row r="13" spans="1:10">
      <c r="A13" s="2">
        <f t="shared" si="0"/>
        <v>0.49999999999999994</v>
      </c>
      <c r="H13">
        <v>12</v>
      </c>
    </row>
    <row r="14" spans="1:10">
      <c r="A14" s="2">
        <f t="shared" si="0"/>
        <v>0.54999999999999993</v>
      </c>
      <c r="H14">
        <v>13</v>
      </c>
    </row>
    <row r="15" spans="1:10">
      <c r="A15" s="2">
        <f t="shared" si="0"/>
        <v>0.6</v>
      </c>
      <c r="H15">
        <v>14</v>
      </c>
    </row>
    <row r="16" spans="1:10">
      <c r="A16" s="2">
        <f t="shared" si="0"/>
        <v>0.65</v>
      </c>
      <c r="H16">
        <v>15</v>
      </c>
    </row>
    <row r="17" spans="1:8">
      <c r="A17" s="2">
        <f t="shared" si="0"/>
        <v>0.70000000000000007</v>
      </c>
      <c r="H17">
        <v>16</v>
      </c>
    </row>
    <row r="18" spans="1:8">
      <c r="A18" s="2">
        <f t="shared" si="0"/>
        <v>0.75000000000000011</v>
      </c>
      <c r="H18">
        <v>17</v>
      </c>
    </row>
    <row r="19" spans="1:8">
      <c r="A19" s="2">
        <f>A18+0.05</f>
        <v>0.80000000000000016</v>
      </c>
      <c r="H19">
        <v>18</v>
      </c>
    </row>
    <row r="20" spans="1:8">
      <c r="A20" s="2">
        <f t="shared" si="0"/>
        <v>0.8500000000000002</v>
      </c>
      <c r="H20">
        <v>19</v>
      </c>
    </row>
    <row r="21" spans="1:8">
      <c r="A21" s="2">
        <f t="shared" si="0"/>
        <v>0.90000000000000024</v>
      </c>
      <c r="H21">
        <v>20</v>
      </c>
    </row>
    <row r="22" spans="1:8">
      <c r="A22" s="2">
        <f t="shared" si="0"/>
        <v>0.95000000000000029</v>
      </c>
      <c r="H22">
        <v>21</v>
      </c>
    </row>
    <row r="23" spans="1:8">
      <c r="A23" s="2">
        <f>A22+0.05</f>
        <v>1.0000000000000002</v>
      </c>
      <c r="H23">
        <v>22</v>
      </c>
    </row>
    <row r="24" spans="1:8">
      <c r="H24">
        <v>23</v>
      </c>
    </row>
    <row r="25" spans="1:8">
      <c r="H25">
        <v>24</v>
      </c>
    </row>
    <row r="26" spans="1:8">
      <c r="H26">
        <v>25</v>
      </c>
    </row>
    <row r="27" spans="1:8">
      <c r="H27">
        <v>26</v>
      </c>
    </row>
    <row r="28" spans="1:8">
      <c r="H28">
        <v>27</v>
      </c>
    </row>
    <row r="29" spans="1:8">
      <c r="H29">
        <v>28</v>
      </c>
    </row>
    <row r="30" spans="1:8">
      <c r="H30">
        <v>29</v>
      </c>
    </row>
    <row r="31" spans="1:8">
      <c r="H31">
        <v>30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F1583-FDA8-48D9-924A-F4FAD3C99270}">
  <sheetPr codeName="Sheet4"/>
  <dimension ref="A1:E363"/>
  <sheetViews>
    <sheetView workbookViewId="0">
      <selection activeCell="F4" sqref="F4"/>
    </sheetView>
  </sheetViews>
  <sheetFormatPr defaultRowHeight="14.25"/>
  <cols>
    <col min="2" max="2" width="17.28515625" bestFit="1" customWidth="1"/>
    <col min="3" max="3" width="23.5703125" bestFit="1" customWidth="1"/>
    <col min="4" max="4" width="23.5703125" customWidth="1"/>
    <col min="5" max="5" width="17.28515625" bestFit="1" customWidth="1"/>
  </cols>
  <sheetData>
    <row r="1" spans="1:5" ht="18">
      <c r="A1" s="115" t="s">
        <v>129</v>
      </c>
      <c r="B1" s="115"/>
      <c r="C1" s="115"/>
      <c r="D1" s="5"/>
      <c r="E1" s="5"/>
    </row>
    <row r="2" spans="1:5">
      <c r="E2" s="15"/>
    </row>
    <row r="3" spans="1:5">
      <c r="A3" s="1" t="s">
        <v>130</v>
      </c>
      <c r="B3" s="1" t="s">
        <v>131</v>
      </c>
      <c r="C3" s="1" t="s">
        <v>132</v>
      </c>
      <c r="D3" s="1" t="s">
        <v>133</v>
      </c>
      <c r="E3" s="1" t="s">
        <v>134</v>
      </c>
    </row>
    <row r="4" spans="1:5">
      <c r="A4">
        <v>1</v>
      </c>
      <c r="B4" s="4">
        <f>-PPMT('With Loan'!$D$41/12,'30% Down Amortization'!$A4,360,'With Loan'!$D$40,0,0)</f>
        <v>428.03896815657725</v>
      </c>
      <c r="C4" s="4">
        <f>-IPMT('With Loan'!$D$41/12,'30% Down Amortization'!$A4,360,'With Loan'!$D$40,0,0)</f>
        <v>888.10312499999998</v>
      </c>
      <c r="D4" s="4">
        <f>B4+C4</f>
        <v>1316.1420931565772</v>
      </c>
      <c r="E4" s="4">
        <f>'With Loan'!$D$40-'30% Down Amortization'!B4</f>
        <v>283764.96103184344</v>
      </c>
    </row>
    <row r="5" spans="1:5">
      <c r="A5">
        <v>2</v>
      </c>
      <c r="B5" s="4">
        <f>-PPMT('With Loan'!$D$41/12,'30% Down Amortization'!$A5,360,'With Loan'!$D$40,0,0)</f>
        <v>429.37658993206645</v>
      </c>
      <c r="C5" s="4">
        <f>-IPMT('With Loan'!$D$41/12,'30% Down Amortization'!$A5,360,'With Loan'!$D$40,0,0)</f>
        <v>886.76550322451067</v>
      </c>
      <c r="D5" s="4">
        <f t="shared" ref="D5:D68" si="0">B5+C5</f>
        <v>1316.1420931565772</v>
      </c>
      <c r="E5" s="3">
        <f>E4-B5</f>
        <v>283335.58444191137</v>
      </c>
    </row>
    <row r="6" spans="1:5">
      <c r="A6">
        <v>3</v>
      </c>
      <c r="B6" s="4">
        <f>-PPMT('With Loan'!$D$41/12,'30% Down Amortization'!$A6,360,'With Loan'!$D$40,0,0)</f>
        <v>430.71839177560412</v>
      </c>
      <c r="C6" s="4">
        <f>-IPMT('With Loan'!$D$41/12,'30% Down Amortization'!$A6,360,'With Loan'!$D$40,0,0)</f>
        <v>885.42370138097294</v>
      </c>
      <c r="D6" s="4">
        <f t="shared" si="0"/>
        <v>1316.1420931565772</v>
      </c>
      <c r="E6" s="3">
        <f t="shared" ref="E6:E33" si="1">E5-B6</f>
        <v>282904.86605013575</v>
      </c>
    </row>
    <row r="7" spans="1:5">
      <c r="A7">
        <v>4</v>
      </c>
      <c r="B7" s="4">
        <f>-PPMT('With Loan'!$D$41/12,'30% Down Amortization'!$A7,360,'With Loan'!$D$40,0,0)</f>
        <v>432.06438674990289</v>
      </c>
      <c r="C7" s="4">
        <f>-IPMT('With Loan'!$D$41/12,'30% Down Amortization'!$A7,360,'With Loan'!$D$40,0,0)</f>
        <v>884.07770640667411</v>
      </c>
      <c r="D7" s="4">
        <f t="shared" si="0"/>
        <v>1316.1420931565769</v>
      </c>
      <c r="E7" s="3">
        <f t="shared" si="1"/>
        <v>282472.80166338582</v>
      </c>
    </row>
    <row r="8" spans="1:5">
      <c r="A8">
        <v>5</v>
      </c>
      <c r="B8" s="4">
        <f>-PPMT('With Loan'!$D$41/12,'30% Down Amortization'!$A8,360,'With Loan'!$D$40,0,0)</f>
        <v>433.41458795849638</v>
      </c>
      <c r="C8" s="4">
        <f>-IPMT('With Loan'!$D$41/12,'30% Down Amortization'!$A8,360,'With Loan'!$D$40,0,0)</f>
        <v>882.72750519808085</v>
      </c>
      <c r="D8" s="4">
        <f t="shared" si="0"/>
        <v>1316.1420931565772</v>
      </c>
      <c r="E8" s="3">
        <f t="shared" si="1"/>
        <v>282039.38707542734</v>
      </c>
    </row>
    <row r="9" spans="1:5">
      <c r="A9">
        <v>6</v>
      </c>
      <c r="B9" s="4">
        <f>-PPMT('With Loan'!$D$41/12,'30% Down Amortization'!$A9,360,'With Loan'!$D$40,0,0)</f>
        <v>434.7690085458666</v>
      </c>
      <c r="C9" s="4">
        <f>-IPMT('With Loan'!$D$41/12,'30% Down Amortization'!$A9,360,'With Loan'!$D$40,0,0)</f>
        <v>881.37308461071041</v>
      </c>
      <c r="D9" s="4">
        <f t="shared" si="0"/>
        <v>1316.1420931565769</v>
      </c>
      <c r="E9" s="3">
        <f t="shared" si="1"/>
        <v>281604.61806688149</v>
      </c>
    </row>
    <row r="10" spans="1:5">
      <c r="A10">
        <v>7</v>
      </c>
      <c r="B10" s="4">
        <f>-PPMT('With Loan'!$D$41/12,'30% Down Amortization'!$A10,360,'With Loan'!$D$40,0,0)</f>
        <v>436.12766169757248</v>
      </c>
      <c r="C10" s="4">
        <f>-IPMT('With Loan'!$D$41/12,'30% Down Amortization'!$A10,360,'With Loan'!$D$40,0,0)</f>
        <v>880.01443145900464</v>
      </c>
      <c r="D10" s="4">
        <f t="shared" si="0"/>
        <v>1316.1420931565772</v>
      </c>
      <c r="E10" s="3">
        <f t="shared" si="1"/>
        <v>281168.49040518393</v>
      </c>
    </row>
    <row r="11" spans="1:5">
      <c r="A11">
        <v>8</v>
      </c>
      <c r="B11" s="4">
        <f>-PPMT('With Loan'!$D$41/12,'30% Down Amortization'!$A11,360,'With Loan'!$D$40,0,0)</f>
        <v>437.4905606403774</v>
      </c>
      <c r="C11" s="4">
        <f>-IPMT('With Loan'!$D$41/12,'30% Down Amortization'!$A11,360,'With Loan'!$D$40,0,0)</f>
        <v>878.65153251619972</v>
      </c>
      <c r="D11" s="4">
        <f t="shared" si="0"/>
        <v>1316.1420931565772</v>
      </c>
      <c r="E11" s="3">
        <f t="shared" si="1"/>
        <v>280730.99984454352</v>
      </c>
    </row>
    <row r="12" spans="1:5">
      <c r="A12">
        <v>9</v>
      </c>
      <c r="B12" s="4">
        <f>-PPMT('With Loan'!$D$41/12,'30% Down Amortization'!$A12,360,'With Loan'!$D$40,0,0)</f>
        <v>438.85771864237853</v>
      </c>
      <c r="C12" s="4">
        <f>-IPMT('With Loan'!$D$41/12,'30% Down Amortization'!$A12,360,'With Loan'!$D$40,0,0)</f>
        <v>877.28437451419848</v>
      </c>
      <c r="D12" s="4">
        <f t="shared" si="0"/>
        <v>1316.1420931565769</v>
      </c>
      <c r="E12" s="3">
        <f t="shared" si="1"/>
        <v>280292.14212590113</v>
      </c>
    </row>
    <row r="13" spans="1:5">
      <c r="A13">
        <v>10</v>
      </c>
      <c r="B13" s="4">
        <f>-PPMT('With Loan'!$D$41/12,'30% Down Amortization'!$A13,360,'With Loan'!$D$40,0,0)</f>
        <v>440.22914901313612</v>
      </c>
      <c r="C13" s="4">
        <f>-IPMT('With Loan'!$D$41/12,'30% Down Amortization'!$A13,360,'With Loan'!$D$40,0,0)</f>
        <v>875.912944143441</v>
      </c>
      <c r="D13" s="4">
        <f t="shared" si="0"/>
        <v>1316.1420931565772</v>
      </c>
      <c r="E13" s="3">
        <f t="shared" si="1"/>
        <v>279851.91297688801</v>
      </c>
    </row>
    <row r="14" spans="1:5">
      <c r="A14">
        <v>11</v>
      </c>
      <c r="B14" s="4">
        <f>-PPMT('With Loan'!$D$41/12,'30% Down Amortization'!$A14,360,'With Loan'!$D$40,0,0)</f>
        <v>441.60486510380201</v>
      </c>
      <c r="C14" s="4">
        <f>-IPMT('With Loan'!$D$41/12,'30% Down Amortization'!$A14,360,'With Loan'!$D$40,0,0)</f>
        <v>874.53722805277494</v>
      </c>
      <c r="D14" s="4">
        <f t="shared" si="0"/>
        <v>1316.1420931565769</v>
      </c>
      <c r="E14" s="3">
        <f t="shared" si="1"/>
        <v>279410.30811178422</v>
      </c>
    </row>
    <row r="15" spans="1:5">
      <c r="A15">
        <v>12</v>
      </c>
      <c r="B15" s="4">
        <f>-PPMT('With Loan'!$D$41/12,'30% Down Amortization'!$A15,360,'With Loan'!$D$40,0,0)</f>
        <v>442.98488030725144</v>
      </c>
      <c r="C15" s="4">
        <f>-IPMT('With Loan'!$D$41/12,'30% Down Amortization'!$A15,360,'With Loan'!$D$40,0,0)</f>
        <v>873.15721284932567</v>
      </c>
      <c r="D15" s="4">
        <f t="shared" si="0"/>
        <v>1316.1420931565772</v>
      </c>
      <c r="E15" s="3">
        <f t="shared" si="1"/>
        <v>278967.323231477</v>
      </c>
    </row>
    <row r="16" spans="1:5">
      <c r="A16">
        <v>13</v>
      </c>
      <c r="B16" s="4">
        <f>-PPMT('With Loan'!$D$41/12,'30% Down Amortization'!$A16,360,'With Loan'!$D$40,0,0)</f>
        <v>444.3692080582116</v>
      </c>
      <c r="C16" s="4">
        <f>-IPMT('With Loan'!$D$41/12,'30% Down Amortization'!$A16,360,'With Loan'!$D$40,0,0)</f>
        <v>871.77288509836558</v>
      </c>
      <c r="D16" s="4">
        <f t="shared" si="0"/>
        <v>1316.1420931565772</v>
      </c>
      <c r="E16" s="3">
        <f t="shared" si="1"/>
        <v>278522.95402341877</v>
      </c>
    </row>
    <row r="17" spans="1:5">
      <c r="A17">
        <v>14</v>
      </c>
      <c r="B17" s="4">
        <f>-PPMT('With Loan'!$D$41/12,'30% Down Amortization'!$A17,360,'With Loan'!$D$40,0,0)</f>
        <v>445.75786183339358</v>
      </c>
      <c r="C17" s="4">
        <f>-IPMT('With Loan'!$D$41/12,'30% Down Amortization'!$A17,360,'With Loan'!$D$40,0,0)</f>
        <v>870.38423132318337</v>
      </c>
      <c r="D17" s="4">
        <f t="shared" si="0"/>
        <v>1316.1420931565769</v>
      </c>
      <c r="E17" s="3">
        <f t="shared" si="1"/>
        <v>278077.19616158539</v>
      </c>
    </row>
    <row r="18" spans="1:5">
      <c r="A18">
        <v>15</v>
      </c>
      <c r="B18" s="4">
        <f>-PPMT('With Loan'!$D$41/12,'30% Down Amortization'!$A18,360,'With Loan'!$D$40,0,0)</f>
        <v>447.15085515162286</v>
      </c>
      <c r="C18" s="4">
        <f>-IPMT('With Loan'!$D$41/12,'30% Down Amortization'!$A18,360,'With Loan'!$D$40,0,0)</f>
        <v>868.99123800495431</v>
      </c>
      <c r="D18" s="4">
        <f t="shared" si="0"/>
        <v>1316.1420931565772</v>
      </c>
      <c r="E18" s="3">
        <f t="shared" si="1"/>
        <v>277630.04530643375</v>
      </c>
    </row>
    <row r="19" spans="1:5">
      <c r="A19">
        <v>16</v>
      </c>
      <c r="B19" s="4">
        <f>-PPMT('With Loan'!$D$41/12,'30% Down Amortization'!$A19,360,'With Loan'!$D$40,0,0)</f>
        <v>448.54820157397165</v>
      </c>
      <c r="C19" s="4">
        <f>-IPMT('With Loan'!$D$41/12,'30% Down Amortization'!$A19,360,'With Loan'!$D$40,0,0)</f>
        <v>867.59389158260535</v>
      </c>
      <c r="D19" s="4">
        <f t="shared" si="0"/>
        <v>1316.1420931565769</v>
      </c>
      <c r="E19" s="3">
        <f t="shared" si="1"/>
        <v>277181.49710485979</v>
      </c>
    </row>
    <row r="20" spans="1:5">
      <c r="A20">
        <v>17</v>
      </c>
      <c r="B20" s="4">
        <f>-PPMT('With Loan'!$D$41/12,'30% Down Amortization'!$A20,360,'With Loan'!$D$40,0,0)</f>
        <v>449.94991470389039</v>
      </c>
      <c r="C20" s="4">
        <f>-IPMT('With Loan'!$D$41/12,'30% Down Amortization'!$A20,360,'With Loan'!$D$40,0,0)</f>
        <v>866.19217845268656</v>
      </c>
      <c r="D20" s="4">
        <f t="shared" si="0"/>
        <v>1316.1420931565769</v>
      </c>
      <c r="E20" s="3">
        <f t="shared" si="1"/>
        <v>276731.54719015589</v>
      </c>
    </row>
    <row r="21" spans="1:5">
      <c r="A21">
        <v>18</v>
      </c>
      <c r="B21" s="4">
        <f>-PPMT('With Loan'!$D$41/12,'30% Down Amortization'!$A21,360,'With Loan'!$D$40,0,0)</f>
        <v>451.35600818733997</v>
      </c>
      <c r="C21" s="4">
        <f>-IPMT('With Loan'!$D$41/12,'30% Down Amortization'!$A21,360,'With Loan'!$D$40,0,0)</f>
        <v>864.78608496923709</v>
      </c>
      <c r="D21" s="4">
        <f t="shared" si="0"/>
        <v>1316.1420931565772</v>
      </c>
      <c r="E21" s="3">
        <f t="shared" si="1"/>
        <v>276280.19118196855</v>
      </c>
    </row>
    <row r="22" spans="1:5">
      <c r="A22">
        <v>19</v>
      </c>
      <c r="B22" s="4">
        <f>-PPMT('With Loan'!$D$41/12,'30% Down Amortization'!$A22,360,'With Loan'!$D$40,0,0)</f>
        <v>452.7664957129254</v>
      </c>
      <c r="C22" s="4">
        <f>-IPMT('With Loan'!$D$41/12,'30% Down Amortization'!$A22,360,'With Loan'!$D$40,0,0)</f>
        <v>863.37559744365183</v>
      </c>
      <c r="D22" s="4">
        <f t="shared" si="0"/>
        <v>1316.1420931565772</v>
      </c>
      <c r="E22" s="3">
        <f t="shared" si="1"/>
        <v>275827.42468625563</v>
      </c>
    </row>
    <row r="23" spans="1:5">
      <c r="A23">
        <v>20</v>
      </c>
      <c r="B23" s="4">
        <f>-PPMT('With Loan'!$D$41/12,'30% Down Amortization'!$A23,360,'With Loan'!$D$40,0,0)</f>
        <v>454.18139101202837</v>
      </c>
      <c r="C23" s="4">
        <f>-IPMT('With Loan'!$D$41/12,'30% Down Amortization'!$A23,360,'With Loan'!$D$40,0,0)</f>
        <v>861.96070214454858</v>
      </c>
      <c r="D23" s="4">
        <f t="shared" si="0"/>
        <v>1316.1420931565769</v>
      </c>
      <c r="E23" s="3">
        <f t="shared" si="1"/>
        <v>275373.24329524359</v>
      </c>
    </row>
    <row r="24" spans="1:5">
      <c r="A24">
        <v>21</v>
      </c>
      <c r="B24" s="4">
        <f>-PPMT('With Loan'!$D$41/12,'30% Down Amortization'!$A24,360,'With Loan'!$D$40,0,0)</f>
        <v>455.60070785894089</v>
      </c>
      <c r="C24" s="4">
        <f>-IPMT('With Loan'!$D$41/12,'30% Down Amortization'!$A24,360,'With Loan'!$D$40,0,0)</f>
        <v>860.54138529763611</v>
      </c>
      <c r="D24" s="4">
        <f t="shared" si="0"/>
        <v>1316.1420931565769</v>
      </c>
      <c r="E24" s="3">
        <f t="shared" si="1"/>
        <v>274917.64258738467</v>
      </c>
    </row>
    <row r="25" spans="1:5">
      <c r="A25">
        <v>22</v>
      </c>
      <c r="B25" s="4">
        <f>-PPMT('With Loan'!$D$41/12,'30% Down Amortization'!$A25,360,'With Loan'!$D$40,0,0)</f>
        <v>457.02446007100014</v>
      </c>
      <c r="C25" s="4">
        <f>-IPMT('With Loan'!$D$41/12,'30% Down Amortization'!$A25,360,'With Loan'!$D$40,0,0)</f>
        <v>859.11763308557681</v>
      </c>
      <c r="D25" s="4">
        <f t="shared" si="0"/>
        <v>1316.1420931565769</v>
      </c>
      <c r="E25" s="3">
        <f t="shared" si="1"/>
        <v>274460.61812731368</v>
      </c>
    </row>
    <row r="26" spans="1:5">
      <c r="A26">
        <v>23</v>
      </c>
      <c r="B26" s="4">
        <f>-PPMT('With Loan'!$D$41/12,'30% Down Amortization'!$A26,360,'With Loan'!$D$40,0,0)</f>
        <v>458.45266150872197</v>
      </c>
      <c r="C26" s="4">
        <f>-IPMT('With Loan'!$D$41/12,'30% Down Amortization'!$A26,360,'With Loan'!$D$40,0,0)</f>
        <v>857.68943164785503</v>
      </c>
      <c r="D26" s="4">
        <f t="shared" si="0"/>
        <v>1316.1420931565769</v>
      </c>
      <c r="E26" s="3">
        <f t="shared" si="1"/>
        <v>274002.16546580498</v>
      </c>
    </row>
    <row r="27" spans="1:5">
      <c r="A27">
        <v>24</v>
      </c>
      <c r="B27" s="4">
        <f>-PPMT('With Loan'!$D$41/12,'30% Down Amortization'!$A27,360,'With Loan'!$D$40,0,0)</f>
        <v>459.88532607593675</v>
      </c>
      <c r="C27" s="4">
        <f>-IPMT('With Loan'!$D$41/12,'30% Down Amortization'!$A27,360,'With Loan'!$D$40,0,0)</f>
        <v>856.25676708064032</v>
      </c>
      <c r="D27" s="4">
        <f t="shared" si="0"/>
        <v>1316.1420931565772</v>
      </c>
      <c r="E27" s="3">
        <f t="shared" si="1"/>
        <v>273542.28013972903</v>
      </c>
    </row>
    <row r="28" spans="1:5">
      <c r="A28">
        <v>25</v>
      </c>
      <c r="B28" s="4">
        <f>-PPMT('With Loan'!$D$41/12,'30% Down Amortization'!$A28,360,'With Loan'!$D$40,0,0)</f>
        <v>461.32246771992402</v>
      </c>
      <c r="C28" s="4">
        <f>-IPMT('With Loan'!$D$41/12,'30% Down Amortization'!$A28,360,'With Loan'!$D$40,0,0)</f>
        <v>854.81962543665293</v>
      </c>
      <c r="D28" s="4">
        <f t="shared" si="0"/>
        <v>1316.1420931565769</v>
      </c>
      <c r="E28" s="3">
        <f t="shared" si="1"/>
        <v>273080.95767200913</v>
      </c>
    </row>
    <row r="29" spans="1:5">
      <c r="A29">
        <v>26</v>
      </c>
      <c r="B29" s="4">
        <f>-PPMT('With Loan'!$D$41/12,'30% Down Amortization'!$A29,360,'With Loan'!$D$40,0,0)</f>
        <v>462.76410043154891</v>
      </c>
      <c r="C29" s="4">
        <f>-IPMT('With Loan'!$D$41/12,'30% Down Amortization'!$A29,360,'With Loan'!$D$40,0,0)</f>
        <v>853.37799272502832</v>
      </c>
      <c r="D29" s="4">
        <f t="shared" si="0"/>
        <v>1316.1420931565772</v>
      </c>
      <c r="E29" s="3">
        <f t="shared" si="1"/>
        <v>272618.19357157761</v>
      </c>
    </row>
    <row r="30" spans="1:5">
      <c r="A30">
        <v>27</v>
      </c>
      <c r="B30" s="4">
        <f>-PPMT('With Loan'!$D$41/12,'30% Down Amortization'!$A30,360,'With Loan'!$D$40,0,0)</f>
        <v>464.21023824539742</v>
      </c>
      <c r="C30" s="4">
        <f>-IPMT('With Loan'!$D$41/12,'30% Down Amortization'!$A30,360,'With Loan'!$D$40,0,0)</f>
        <v>851.93185491117981</v>
      </c>
      <c r="D30" s="4">
        <f t="shared" si="0"/>
        <v>1316.1420931565772</v>
      </c>
      <c r="E30" s="3">
        <f t="shared" si="1"/>
        <v>272153.98333333223</v>
      </c>
    </row>
    <row r="31" spans="1:5">
      <c r="A31">
        <v>28</v>
      </c>
      <c r="B31" s="4">
        <f>-PPMT('With Loan'!$D$41/12,'30% Down Amortization'!$A31,360,'With Loan'!$D$40,0,0)</f>
        <v>465.66089523991417</v>
      </c>
      <c r="C31" s="4">
        <f>-IPMT('With Loan'!$D$41/12,'30% Down Amortization'!$A31,360,'With Loan'!$D$40,0,0)</f>
        <v>850.48119791666295</v>
      </c>
      <c r="D31" s="4">
        <f t="shared" si="0"/>
        <v>1316.1420931565772</v>
      </c>
      <c r="E31" s="3">
        <f t="shared" si="1"/>
        <v>271688.32243809232</v>
      </c>
    </row>
    <row r="32" spans="1:5">
      <c r="A32">
        <v>29</v>
      </c>
      <c r="B32" s="4">
        <f>-PPMT('With Loan'!$D$41/12,'30% Down Amortization'!$A32,360,'With Loan'!$D$40,0,0)</f>
        <v>467.11608553753899</v>
      </c>
      <c r="C32" s="4">
        <f>-IPMT('With Loan'!$D$41/12,'30% Down Amortization'!$A32,360,'With Loan'!$D$40,0,0)</f>
        <v>849.02600761903807</v>
      </c>
      <c r="D32" s="4">
        <f t="shared" si="0"/>
        <v>1316.1420931565772</v>
      </c>
      <c r="E32" s="3">
        <f t="shared" si="1"/>
        <v>271221.20635255479</v>
      </c>
    </row>
    <row r="33" spans="1:5">
      <c r="A33">
        <v>30</v>
      </c>
      <c r="B33" s="4">
        <f>-PPMT('With Loan'!$D$41/12,'30% Down Amortization'!$A33,360,'With Loan'!$D$40,0,0)</f>
        <v>468.57582330484382</v>
      </c>
      <c r="C33" s="4">
        <f>-IPMT('With Loan'!$D$41/12,'30% Down Amortization'!$A33,360,'With Loan'!$D$40,0,0)</f>
        <v>847.5662698517333</v>
      </c>
      <c r="D33" s="4">
        <f t="shared" si="0"/>
        <v>1316.1420931565772</v>
      </c>
      <c r="E33" s="3">
        <f t="shared" si="1"/>
        <v>270752.63052924996</v>
      </c>
    </row>
    <row r="34" spans="1:5">
      <c r="A34">
        <v>31</v>
      </c>
      <c r="B34" s="4">
        <f>-PPMT('With Loan'!$D$41/12,'30% Down Amortization'!$A34,360,'With Loan'!$D$40,0,0)</f>
        <v>470.04012275267138</v>
      </c>
      <c r="C34" s="4">
        <f>-IPMT('With Loan'!$D$41/12,'30% Down Amortization'!$A34,360,'With Loan'!$D$40,0,0)</f>
        <v>846.10197040390574</v>
      </c>
      <c r="D34" s="4">
        <f t="shared" si="0"/>
        <v>1316.1420931565772</v>
      </c>
      <c r="E34" s="3">
        <f t="shared" ref="E34:E97" si="2">E33-B34</f>
        <v>270282.5904064973</v>
      </c>
    </row>
    <row r="35" spans="1:5">
      <c r="A35">
        <v>32</v>
      </c>
      <c r="B35" s="4">
        <f>-PPMT('With Loan'!$D$41/12,'30% Down Amortization'!$A35,360,'With Loan'!$D$40,0,0)</f>
        <v>471.50899813627365</v>
      </c>
      <c r="C35" s="4">
        <f>-IPMT('With Loan'!$D$41/12,'30% Down Amortization'!$A35,360,'With Loan'!$D$40,0,0)</f>
        <v>844.63309502030347</v>
      </c>
      <c r="D35" s="4">
        <f t="shared" si="0"/>
        <v>1316.1420931565772</v>
      </c>
      <c r="E35" s="3">
        <f t="shared" si="2"/>
        <v>269811.08140836103</v>
      </c>
    </row>
    <row r="36" spans="1:5">
      <c r="A36">
        <v>33</v>
      </c>
      <c r="B36" s="4">
        <f>-PPMT('With Loan'!$D$41/12,'30% Down Amortization'!$A36,360,'With Loan'!$D$40,0,0)</f>
        <v>472.98246375544937</v>
      </c>
      <c r="C36" s="4">
        <f>-IPMT('With Loan'!$D$41/12,'30% Down Amortization'!$A36,360,'With Loan'!$D$40,0,0)</f>
        <v>843.15962940112763</v>
      </c>
      <c r="D36" s="4">
        <f t="shared" si="0"/>
        <v>1316.1420931565769</v>
      </c>
      <c r="E36" s="3">
        <f t="shared" si="2"/>
        <v>269338.09894460556</v>
      </c>
    </row>
    <row r="37" spans="1:5">
      <c r="A37">
        <v>34</v>
      </c>
      <c r="B37" s="4">
        <f>-PPMT('With Loan'!$D$41/12,'30% Down Amortization'!$A37,360,'With Loan'!$D$40,0,0)</f>
        <v>474.4605339546851</v>
      </c>
      <c r="C37" s="4">
        <f>-IPMT('With Loan'!$D$41/12,'30% Down Amortization'!$A37,360,'With Loan'!$D$40,0,0)</f>
        <v>841.6815592018919</v>
      </c>
      <c r="D37" s="4">
        <f t="shared" si="0"/>
        <v>1316.1420931565769</v>
      </c>
      <c r="E37" s="3">
        <f t="shared" si="2"/>
        <v>268863.63841065089</v>
      </c>
    </row>
    <row r="38" spans="1:5">
      <c r="A38">
        <v>35</v>
      </c>
      <c r="B38" s="4">
        <f>-PPMT('With Loan'!$D$41/12,'30% Down Amortization'!$A38,360,'With Loan'!$D$40,0,0)</f>
        <v>475.94322312329365</v>
      </c>
      <c r="C38" s="4">
        <f>-IPMT('With Loan'!$D$41/12,'30% Down Amortization'!$A38,360,'With Loan'!$D$40,0,0)</f>
        <v>840.19887003328347</v>
      </c>
      <c r="D38" s="4">
        <f t="shared" si="0"/>
        <v>1316.1420931565772</v>
      </c>
      <c r="E38" s="3">
        <f t="shared" si="2"/>
        <v>268387.69518752757</v>
      </c>
    </row>
    <row r="39" spans="1:5">
      <c r="A39">
        <v>36</v>
      </c>
      <c r="B39" s="4">
        <f>-PPMT('With Loan'!$D$41/12,'30% Down Amortization'!$A39,360,'With Loan'!$D$40,0,0)</f>
        <v>477.43054569555386</v>
      </c>
      <c r="C39" s="4">
        <f>-IPMT('With Loan'!$D$41/12,'30% Down Amortization'!$A39,360,'With Loan'!$D$40,0,0)</f>
        <v>838.7115474610232</v>
      </c>
      <c r="D39" s="4">
        <f t="shared" si="0"/>
        <v>1316.1420931565772</v>
      </c>
      <c r="E39" s="3">
        <f t="shared" si="2"/>
        <v>267910.26464183204</v>
      </c>
    </row>
    <row r="40" spans="1:5">
      <c r="A40">
        <v>37</v>
      </c>
      <c r="B40" s="4">
        <f>-PPMT('With Loan'!$D$41/12,'30% Down Amortization'!$A40,360,'With Loan'!$D$40,0,0)</f>
        <v>478.92251615085246</v>
      </c>
      <c r="C40" s="4">
        <f>-IPMT('With Loan'!$D$41/12,'30% Down Amortization'!$A40,360,'With Loan'!$D$40,0,0)</f>
        <v>837.21957700572466</v>
      </c>
      <c r="D40" s="4">
        <f t="shared" si="0"/>
        <v>1316.1420931565772</v>
      </c>
      <c r="E40" s="3">
        <f t="shared" si="2"/>
        <v>267431.34212568117</v>
      </c>
    </row>
    <row r="41" spans="1:5">
      <c r="A41">
        <v>38</v>
      </c>
      <c r="B41" s="4">
        <f>-PPMT('With Loan'!$D$41/12,'30% Down Amortization'!$A41,360,'With Loan'!$D$40,0,0)</f>
        <v>480.41914901382393</v>
      </c>
      <c r="C41" s="4">
        <f>-IPMT('With Loan'!$D$41/12,'30% Down Amortization'!$A41,360,'With Loan'!$D$40,0,0)</f>
        <v>835.72294414275325</v>
      </c>
      <c r="D41" s="4">
        <f t="shared" si="0"/>
        <v>1316.1420931565772</v>
      </c>
      <c r="E41" s="3">
        <f t="shared" si="2"/>
        <v>266950.92297666735</v>
      </c>
    </row>
    <row r="42" spans="1:5">
      <c r="A42">
        <v>39</v>
      </c>
      <c r="B42" s="4">
        <f>-PPMT('With Loan'!$D$41/12,'30% Down Amortization'!$A42,360,'With Loan'!$D$40,0,0)</f>
        <v>481.9204588544921</v>
      </c>
      <c r="C42" s="4">
        <f>-IPMT('With Loan'!$D$41/12,'30% Down Amortization'!$A42,360,'With Loan'!$D$40,0,0)</f>
        <v>834.22163430208491</v>
      </c>
      <c r="D42" s="4">
        <f t="shared" si="0"/>
        <v>1316.1420931565769</v>
      </c>
      <c r="E42" s="3">
        <f t="shared" si="2"/>
        <v>266469.00251781289</v>
      </c>
    </row>
    <row r="43" spans="1:5">
      <c r="A43">
        <v>40</v>
      </c>
      <c r="B43" s="4">
        <f>-PPMT('With Loan'!$D$41/12,'30% Down Amortization'!$A43,360,'With Loan'!$D$40,0,0)</f>
        <v>483.42646028841233</v>
      </c>
      <c r="C43" s="4">
        <f>-IPMT('With Loan'!$D$41/12,'30% Down Amortization'!$A43,360,'With Loan'!$D$40,0,0)</f>
        <v>832.71563286816468</v>
      </c>
      <c r="D43" s="4">
        <f t="shared" si="0"/>
        <v>1316.1420931565769</v>
      </c>
      <c r="E43" s="3">
        <f t="shared" si="2"/>
        <v>265985.57605752448</v>
      </c>
    </row>
    <row r="44" spans="1:5">
      <c r="A44">
        <v>41</v>
      </c>
      <c r="B44" s="4">
        <f>-PPMT('With Loan'!$D$41/12,'30% Down Amortization'!$A44,360,'With Loan'!$D$40,0,0)</f>
        <v>484.93716797681367</v>
      </c>
      <c r="C44" s="4">
        <f>-IPMT('With Loan'!$D$41/12,'30% Down Amortization'!$A44,360,'With Loan'!$D$40,0,0)</f>
        <v>831.20492517976334</v>
      </c>
      <c r="D44" s="4">
        <f t="shared" si="0"/>
        <v>1316.1420931565769</v>
      </c>
      <c r="E44" s="3">
        <f t="shared" si="2"/>
        <v>265500.63888954767</v>
      </c>
    </row>
    <row r="45" spans="1:5">
      <c r="A45">
        <v>42</v>
      </c>
      <c r="B45" s="4">
        <f>-PPMT('With Loan'!$D$41/12,'30% Down Amortization'!$A45,360,'With Loan'!$D$40,0,0)</f>
        <v>486.45259662674118</v>
      </c>
      <c r="C45" s="4">
        <f>-IPMT('With Loan'!$D$41/12,'30% Down Amortization'!$A45,360,'With Loan'!$D$40,0,0)</f>
        <v>829.68949652983565</v>
      </c>
      <c r="D45" s="4">
        <f t="shared" si="0"/>
        <v>1316.1420931565767</v>
      </c>
      <c r="E45" s="3">
        <f t="shared" si="2"/>
        <v>265014.1862929209</v>
      </c>
    </row>
    <row r="46" spans="1:5">
      <c r="A46">
        <v>43</v>
      </c>
      <c r="B46" s="4">
        <f>-PPMT('With Loan'!$D$41/12,'30% Down Amortization'!$A46,360,'With Loan'!$D$40,0,0)</f>
        <v>487.97276099119983</v>
      </c>
      <c r="C46" s="4">
        <f>-IPMT('With Loan'!$D$41/12,'30% Down Amortization'!$A46,360,'With Loan'!$D$40,0,0)</f>
        <v>828.16933216537734</v>
      </c>
      <c r="D46" s="4">
        <f t="shared" si="0"/>
        <v>1316.1420931565772</v>
      </c>
      <c r="E46" s="3">
        <f t="shared" si="2"/>
        <v>264526.21353192971</v>
      </c>
    </row>
    <row r="47" spans="1:5">
      <c r="A47">
        <v>44</v>
      </c>
      <c r="B47" s="4">
        <f>-PPMT('With Loan'!$D$41/12,'30% Down Amortization'!$A47,360,'With Loan'!$D$40,0,0)</f>
        <v>489.49767586929727</v>
      </c>
      <c r="C47" s="4">
        <f>-IPMT('With Loan'!$D$41/12,'30% Down Amortization'!$A47,360,'With Loan'!$D$40,0,0)</f>
        <v>826.64441728727968</v>
      </c>
      <c r="D47" s="4">
        <f t="shared" si="0"/>
        <v>1316.1420931565769</v>
      </c>
      <c r="E47" s="3">
        <f t="shared" si="2"/>
        <v>264036.71585606039</v>
      </c>
    </row>
    <row r="48" spans="1:5">
      <c r="A48">
        <v>45</v>
      </c>
      <c r="B48" s="4">
        <f>-PPMT('With Loan'!$D$41/12,'30% Down Amortization'!$A48,360,'With Loan'!$D$40,0,0)</f>
        <v>491.02735610638877</v>
      </c>
      <c r="C48" s="4">
        <f>-IPMT('With Loan'!$D$41/12,'30% Down Amortization'!$A48,360,'With Loan'!$D$40,0,0)</f>
        <v>825.1147370501883</v>
      </c>
      <c r="D48" s="4">
        <f t="shared" si="0"/>
        <v>1316.1420931565772</v>
      </c>
      <c r="E48" s="3">
        <f t="shared" si="2"/>
        <v>263545.68849995401</v>
      </c>
    </row>
    <row r="49" spans="1:5">
      <c r="A49">
        <v>46</v>
      </c>
      <c r="B49" s="4">
        <f>-PPMT('With Loan'!$D$41/12,'30% Down Amortization'!$A49,360,'With Loan'!$D$40,0,0)</f>
        <v>492.56181659422134</v>
      </c>
      <c r="C49" s="4">
        <f>-IPMT('With Loan'!$D$41/12,'30% Down Amortization'!$A49,360,'With Loan'!$D$40,0,0)</f>
        <v>823.58027656235583</v>
      </c>
      <c r="D49" s="4">
        <f t="shared" si="0"/>
        <v>1316.1420931565772</v>
      </c>
      <c r="E49" s="3">
        <f t="shared" si="2"/>
        <v>263053.12668335979</v>
      </c>
    </row>
    <row r="50" spans="1:5">
      <c r="A50">
        <v>47</v>
      </c>
      <c r="B50" s="4">
        <f>-PPMT('With Loan'!$D$41/12,'30% Down Amortization'!$A50,360,'With Loan'!$D$40,0,0)</f>
        <v>494.10107227107812</v>
      </c>
      <c r="C50" s="4">
        <f>-IPMT('With Loan'!$D$41/12,'30% Down Amortization'!$A50,360,'With Loan'!$D$40,0,0)</f>
        <v>822.04102088549871</v>
      </c>
      <c r="D50" s="4">
        <f t="shared" si="0"/>
        <v>1316.1420931565767</v>
      </c>
      <c r="E50" s="3">
        <f t="shared" si="2"/>
        <v>262559.02561108873</v>
      </c>
    </row>
    <row r="51" spans="1:5">
      <c r="A51">
        <v>48</v>
      </c>
      <c r="B51" s="4">
        <f>-PPMT('With Loan'!$D$41/12,'30% Down Amortization'!$A51,360,'With Loan'!$D$40,0,0)</f>
        <v>495.6451381219253</v>
      </c>
      <c r="C51" s="4">
        <f>-IPMT('With Loan'!$D$41/12,'30% Down Amortization'!$A51,360,'With Loan'!$D$40,0,0)</f>
        <v>820.49695503465171</v>
      </c>
      <c r="D51" s="4">
        <f t="shared" si="0"/>
        <v>1316.1420931565769</v>
      </c>
      <c r="E51" s="3">
        <f t="shared" si="2"/>
        <v>262063.38047296679</v>
      </c>
    </row>
    <row r="52" spans="1:5">
      <c r="A52">
        <v>49</v>
      </c>
      <c r="B52" s="4">
        <f>-PPMT('With Loan'!$D$41/12,'30% Down Amortization'!$A52,360,'With Loan'!$D$40,0,0)</f>
        <v>497.19402917855626</v>
      </c>
      <c r="C52" s="4">
        <f>-IPMT('With Loan'!$D$41/12,'30% Down Amortization'!$A52,360,'With Loan'!$D$40,0,0)</f>
        <v>818.94806397802074</v>
      </c>
      <c r="D52" s="4">
        <f t="shared" si="0"/>
        <v>1316.1420931565769</v>
      </c>
      <c r="E52" s="3">
        <f t="shared" si="2"/>
        <v>261566.18644378823</v>
      </c>
    </row>
    <row r="53" spans="1:5">
      <c r="A53">
        <v>50</v>
      </c>
      <c r="B53" s="4">
        <f>-PPMT('With Loan'!$D$41/12,'30% Down Amortization'!$A53,360,'With Loan'!$D$40,0,0)</f>
        <v>498.74776051973936</v>
      </c>
      <c r="C53" s="4">
        <f>-IPMT('With Loan'!$D$41/12,'30% Down Amortization'!$A53,360,'With Loan'!$D$40,0,0)</f>
        <v>817.39433263683782</v>
      </c>
      <c r="D53" s="4">
        <f t="shared" si="0"/>
        <v>1316.1420931565772</v>
      </c>
      <c r="E53" s="3">
        <f t="shared" si="2"/>
        <v>261067.4386832685</v>
      </c>
    </row>
    <row r="54" spans="1:5">
      <c r="A54">
        <v>51</v>
      </c>
      <c r="B54" s="4">
        <f>-PPMT('With Loan'!$D$41/12,'30% Down Amortization'!$A54,360,'With Loan'!$D$40,0,0)</f>
        <v>500.30634727136351</v>
      </c>
      <c r="C54" s="4">
        <f>-IPMT('With Loan'!$D$41/12,'30% Down Amortization'!$A54,360,'With Loan'!$D$40,0,0)</f>
        <v>815.83574588521367</v>
      </c>
      <c r="D54" s="4">
        <f t="shared" si="0"/>
        <v>1316.1420931565772</v>
      </c>
      <c r="E54" s="3">
        <f t="shared" si="2"/>
        <v>260567.13233599713</v>
      </c>
    </row>
    <row r="55" spans="1:5">
      <c r="A55">
        <v>52</v>
      </c>
      <c r="B55" s="4">
        <f>-PPMT('With Loan'!$D$41/12,'30% Down Amortization'!$A55,360,'With Loan'!$D$40,0,0)</f>
        <v>501.86980460658657</v>
      </c>
      <c r="C55" s="4">
        <f>-IPMT('With Loan'!$D$41/12,'30% Down Amortization'!$A55,360,'With Loan'!$D$40,0,0)</f>
        <v>814.27228854999044</v>
      </c>
      <c r="D55" s="4">
        <f t="shared" si="0"/>
        <v>1316.1420931565769</v>
      </c>
      <c r="E55" s="3">
        <f t="shared" si="2"/>
        <v>260065.26253139053</v>
      </c>
    </row>
    <row r="56" spans="1:5">
      <c r="A56">
        <v>53</v>
      </c>
      <c r="B56" s="4">
        <f>-PPMT('With Loan'!$D$41/12,'30% Down Amortization'!$A56,360,'With Loan'!$D$40,0,0)</f>
        <v>503.43814774598206</v>
      </c>
      <c r="C56" s="4">
        <f>-IPMT('With Loan'!$D$41/12,'30% Down Amortization'!$A56,360,'With Loan'!$D$40,0,0)</f>
        <v>812.70394541059477</v>
      </c>
      <c r="D56" s="4">
        <f t="shared" si="0"/>
        <v>1316.1420931565767</v>
      </c>
      <c r="E56" s="3">
        <f t="shared" si="2"/>
        <v>259561.82438364456</v>
      </c>
    </row>
    <row r="57" spans="1:5">
      <c r="A57">
        <v>54</v>
      </c>
      <c r="B57" s="4">
        <f>-PPMT('With Loan'!$D$41/12,'30% Down Amortization'!$A57,360,'With Loan'!$D$40,0,0)</f>
        <v>505.01139195768832</v>
      </c>
      <c r="C57" s="4">
        <f>-IPMT('With Loan'!$D$41/12,'30% Down Amortization'!$A57,360,'With Loan'!$D$40,0,0)</f>
        <v>811.13070119888869</v>
      </c>
      <c r="D57" s="4">
        <f t="shared" si="0"/>
        <v>1316.1420931565769</v>
      </c>
      <c r="E57" s="3">
        <f t="shared" si="2"/>
        <v>259056.81299168686</v>
      </c>
    </row>
    <row r="58" spans="1:5">
      <c r="A58">
        <v>55</v>
      </c>
      <c r="B58" s="4">
        <f>-PPMT('With Loan'!$D$41/12,'30% Down Amortization'!$A58,360,'With Loan'!$D$40,0,0)</f>
        <v>506.58955255755603</v>
      </c>
      <c r="C58" s="4">
        <f>-IPMT('With Loan'!$D$41/12,'30% Down Amortization'!$A58,360,'With Loan'!$D$40,0,0)</f>
        <v>809.55254059902086</v>
      </c>
      <c r="D58" s="4">
        <f t="shared" si="0"/>
        <v>1316.1420931565769</v>
      </c>
      <c r="E58" s="3">
        <f t="shared" si="2"/>
        <v>258550.2234391293</v>
      </c>
    </row>
    <row r="59" spans="1:5">
      <c r="A59">
        <v>56</v>
      </c>
      <c r="B59" s="4">
        <f>-PPMT('With Loan'!$D$41/12,'30% Down Amortization'!$A59,360,'With Loan'!$D$40,0,0)</f>
        <v>508.17264490929853</v>
      </c>
      <c r="C59" s="4">
        <f>-IPMT('With Loan'!$D$41/12,'30% Down Amortization'!$A59,360,'With Loan'!$D$40,0,0)</f>
        <v>807.96944824727859</v>
      </c>
      <c r="D59" s="4">
        <f t="shared" si="0"/>
        <v>1316.1420931565772</v>
      </c>
      <c r="E59" s="3">
        <f t="shared" si="2"/>
        <v>258042.05079422001</v>
      </c>
    </row>
    <row r="60" spans="1:5">
      <c r="A60">
        <v>57</v>
      </c>
      <c r="B60" s="4">
        <f>-PPMT('With Loan'!$D$41/12,'30% Down Amortization'!$A60,360,'With Loan'!$D$40,0,0)</f>
        <v>509.76068442464009</v>
      </c>
      <c r="C60" s="4">
        <f>-IPMT('With Loan'!$D$41/12,'30% Down Amortization'!$A60,360,'With Loan'!$D$40,0,0)</f>
        <v>806.38140873193686</v>
      </c>
      <c r="D60" s="4">
        <f t="shared" si="0"/>
        <v>1316.1420931565769</v>
      </c>
      <c r="E60" s="3">
        <f t="shared" si="2"/>
        <v>257532.29010979537</v>
      </c>
    </row>
    <row r="61" spans="1:5">
      <c r="A61">
        <v>58</v>
      </c>
      <c r="B61" s="4">
        <f>-PPMT('With Loan'!$D$41/12,'30% Down Amortization'!$A61,360,'With Loan'!$D$40,0,0)</f>
        <v>511.35368656346702</v>
      </c>
      <c r="C61" s="4">
        <f>-IPMT('With Loan'!$D$41/12,'30% Down Amortization'!$A61,360,'With Loan'!$D$40,0,0)</f>
        <v>804.78840659311004</v>
      </c>
      <c r="D61" s="4">
        <f t="shared" si="0"/>
        <v>1316.1420931565772</v>
      </c>
      <c r="E61" s="3">
        <f t="shared" si="2"/>
        <v>257020.93642323191</v>
      </c>
    </row>
    <row r="62" spans="1:5">
      <c r="A62">
        <v>59</v>
      </c>
      <c r="B62" s="4">
        <f>-PPMT('With Loan'!$D$41/12,'30% Down Amortization'!$A62,360,'With Loan'!$D$40,0,0)</f>
        <v>512.95166683397792</v>
      </c>
      <c r="C62" s="4">
        <f>-IPMT('With Loan'!$D$41/12,'30% Down Amortization'!$A62,360,'With Loan'!$D$40,0,0)</f>
        <v>803.19042632259914</v>
      </c>
      <c r="D62" s="4">
        <f t="shared" si="0"/>
        <v>1316.1420931565772</v>
      </c>
      <c r="E62" s="3">
        <f t="shared" si="2"/>
        <v>256507.98475639793</v>
      </c>
    </row>
    <row r="63" spans="1:5">
      <c r="A63">
        <v>60</v>
      </c>
      <c r="B63" s="4">
        <f>-PPMT('With Loan'!$D$41/12,'30% Down Amortization'!$A63,360,'With Loan'!$D$40,0,0)</f>
        <v>514.55464079283411</v>
      </c>
      <c r="C63" s="4">
        <f>-IPMT('With Loan'!$D$41/12,'30% Down Amortization'!$A63,360,'With Loan'!$D$40,0,0)</f>
        <v>801.58745236374295</v>
      </c>
      <c r="D63" s="4">
        <f t="shared" si="0"/>
        <v>1316.1420931565772</v>
      </c>
      <c r="E63" s="3">
        <f t="shared" si="2"/>
        <v>255993.43011560509</v>
      </c>
    </row>
    <row r="64" spans="1:5">
      <c r="A64">
        <v>61</v>
      </c>
      <c r="B64" s="4">
        <f>-PPMT('With Loan'!$D$41/12,'30% Down Amortization'!$A64,360,'With Loan'!$D$40,0,0)</f>
        <v>516.16262404531153</v>
      </c>
      <c r="C64" s="4">
        <f>-IPMT('With Loan'!$D$41/12,'30% Down Amortization'!$A64,360,'With Loan'!$D$40,0,0)</f>
        <v>799.97946911126553</v>
      </c>
      <c r="D64" s="4">
        <f t="shared" si="0"/>
        <v>1316.1420931565772</v>
      </c>
      <c r="E64" s="3">
        <f t="shared" si="2"/>
        <v>255477.26749155979</v>
      </c>
    </row>
    <row r="65" spans="1:5">
      <c r="A65">
        <v>62</v>
      </c>
      <c r="B65" s="4">
        <f>-PPMT('With Loan'!$D$41/12,'30% Down Amortization'!$A65,360,'With Loan'!$D$40,0,0)</f>
        <v>517.77563224545327</v>
      </c>
      <c r="C65" s="4">
        <f>-IPMT('With Loan'!$D$41/12,'30% Down Amortization'!$A65,360,'With Loan'!$D$40,0,0)</f>
        <v>798.36646091112368</v>
      </c>
      <c r="D65" s="4">
        <f t="shared" si="0"/>
        <v>1316.1420931565769</v>
      </c>
      <c r="E65" s="3">
        <f t="shared" si="2"/>
        <v>254959.49185931432</v>
      </c>
    </row>
    <row r="66" spans="1:5">
      <c r="A66">
        <v>63</v>
      </c>
      <c r="B66" s="4">
        <f>-PPMT('With Loan'!$D$41/12,'30% Down Amortization'!$A66,360,'With Loan'!$D$40,0,0)</f>
        <v>519.39368109622035</v>
      </c>
      <c r="C66" s="4">
        <f>-IPMT('With Loan'!$D$41/12,'30% Down Amortization'!$A66,360,'With Loan'!$D$40,0,0)</f>
        <v>796.7484120603566</v>
      </c>
      <c r="D66" s="4">
        <f t="shared" si="0"/>
        <v>1316.1420931565769</v>
      </c>
      <c r="E66" s="3">
        <f t="shared" si="2"/>
        <v>254440.09817821809</v>
      </c>
    </row>
    <row r="67" spans="1:5">
      <c r="A67">
        <v>64</v>
      </c>
      <c r="B67" s="4">
        <f>-PPMT('With Loan'!$D$41/12,'30% Down Amortization'!$A67,360,'With Loan'!$D$40,0,0)</f>
        <v>521.01678634964594</v>
      </c>
      <c r="C67" s="4">
        <f>-IPMT('With Loan'!$D$41/12,'30% Down Amortization'!$A67,360,'With Loan'!$D$40,0,0)</f>
        <v>795.12530680693101</v>
      </c>
      <c r="D67" s="4">
        <f t="shared" si="0"/>
        <v>1316.1420931565769</v>
      </c>
      <c r="E67" s="3">
        <f t="shared" si="2"/>
        <v>253919.08139186844</v>
      </c>
    </row>
    <row r="68" spans="1:5">
      <c r="A68">
        <v>65</v>
      </c>
      <c r="B68" s="4">
        <f>-PPMT('With Loan'!$D$41/12,'30% Down Amortization'!$A68,360,'With Loan'!$D$40,0,0)</f>
        <v>522.64496380698859</v>
      </c>
      <c r="C68" s="4">
        <f>-IPMT('With Loan'!$D$41/12,'30% Down Amortization'!$A68,360,'With Loan'!$D$40,0,0)</f>
        <v>793.49712934958848</v>
      </c>
      <c r="D68" s="4">
        <f t="shared" si="0"/>
        <v>1316.1420931565772</v>
      </c>
      <c r="E68" s="3">
        <f t="shared" si="2"/>
        <v>253396.43642806145</v>
      </c>
    </row>
    <row r="69" spans="1:5">
      <c r="A69">
        <v>66</v>
      </c>
      <c r="B69" s="4">
        <f>-PPMT('With Loan'!$D$41/12,'30% Down Amortization'!$A69,360,'With Loan'!$D$40,0,0)</f>
        <v>524.27822931888556</v>
      </c>
      <c r="C69" s="4">
        <f>-IPMT('With Loan'!$D$41/12,'30% Down Amortization'!$A69,360,'With Loan'!$D$40,0,0)</f>
        <v>791.86386383769161</v>
      </c>
      <c r="D69" s="4">
        <f t="shared" ref="D69:D132" si="3">B69+C69</f>
        <v>1316.1420931565772</v>
      </c>
      <c r="E69" s="3">
        <f t="shared" si="2"/>
        <v>252872.15819874257</v>
      </c>
    </row>
    <row r="70" spans="1:5">
      <c r="A70">
        <v>67</v>
      </c>
      <c r="B70" s="4">
        <f>-PPMT('With Loan'!$D$41/12,'30% Down Amortization'!$A70,360,'With Loan'!$D$40,0,0)</f>
        <v>525.91659878550695</v>
      </c>
      <c r="C70" s="4">
        <f>-IPMT('With Loan'!$D$41/12,'30% Down Amortization'!$A70,360,'With Loan'!$D$40,0,0)</f>
        <v>790.22549437107023</v>
      </c>
      <c r="D70" s="4">
        <f t="shared" si="3"/>
        <v>1316.1420931565772</v>
      </c>
      <c r="E70" s="3">
        <f t="shared" si="2"/>
        <v>252346.24159995708</v>
      </c>
    </row>
    <row r="71" spans="1:5">
      <c r="A71">
        <v>68</v>
      </c>
      <c r="B71" s="4">
        <f>-PPMT('With Loan'!$D$41/12,'30% Down Amortization'!$A71,360,'With Loan'!$D$40,0,0)</f>
        <v>527.56008815671169</v>
      </c>
      <c r="C71" s="4">
        <f>-IPMT('With Loan'!$D$41/12,'30% Down Amortization'!$A71,360,'With Loan'!$D$40,0,0)</f>
        <v>788.58200499986549</v>
      </c>
      <c r="D71" s="4">
        <f t="shared" si="3"/>
        <v>1316.1420931565772</v>
      </c>
      <c r="E71" s="3">
        <f t="shared" si="2"/>
        <v>251818.68151180036</v>
      </c>
    </row>
    <row r="72" spans="1:5">
      <c r="A72">
        <v>69</v>
      </c>
      <c r="B72" s="4">
        <f>-PPMT('With Loan'!$D$41/12,'30% Down Amortization'!$A72,360,'With Loan'!$D$40,0,0)</f>
        <v>529.20871343220142</v>
      </c>
      <c r="C72" s="4">
        <f>-IPMT('With Loan'!$D$41/12,'30% Down Amortization'!$A72,360,'With Loan'!$D$40,0,0)</f>
        <v>786.93337972437564</v>
      </c>
      <c r="D72" s="4">
        <f t="shared" si="3"/>
        <v>1316.1420931565772</v>
      </c>
      <c r="E72" s="3">
        <f t="shared" si="2"/>
        <v>251289.47279836817</v>
      </c>
    </row>
    <row r="73" spans="1:5">
      <c r="A73">
        <v>70</v>
      </c>
      <c r="B73" s="4">
        <f>-PPMT('With Loan'!$D$41/12,'30% Down Amortization'!$A73,360,'With Loan'!$D$40,0,0)</f>
        <v>530.86249066167693</v>
      </c>
      <c r="C73" s="4">
        <f>-IPMT('With Loan'!$D$41/12,'30% Down Amortization'!$A73,360,'With Loan'!$D$40,0,0)</f>
        <v>785.27960249490002</v>
      </c>
      <c r="D73" s="4">
        <f t="shared" si="3"/>
        <v>1316.1420931565769</v>
      </c>
      <c r="E73" s="3">
        <f t="shared" si="2"/>
        <v>250758.61030770649</v>
      </c>
    </row>
    <row r="74" spans="1:5">
      <c r="A74">
        <v>71</v>
      </c>
      <c r="B74" s="4">
        <f>-PPMT('With Loan'!$D$41/12,'30% Down Amortization'!$A74,360,'With Loan'!$D$40,0,0)</f>
        <v>532.52143594499478</v>
      </c>
      <c r="C74" s="4">
        <f>-IPMT('With Loan'!$D$41/12,'30% Down Amortization'!$A74,360,'With Loan'!$D$40,0,0)</f>
        <v>783.6206572115824</v>
      </c>
      <c r="D74" s="4">
        <f t="shared" si="3"/>
        <v>1316.1420931565772</v>
      </c>
      <c r="E74" s="3">
        <f t="shared" si="2"/>
        <v>250226.08887176149</v>
      </c>
    </row>
    <row r="75" spans="1:5">
      <c r="A75">
        <v>72</v>
      </c>
      <c r="B75" s="4">
        <f>-PPMT('With Loan'!$D$41/12,'30% Down Amortization'!$A75,360,'With Loan'!$D$40,0,0)</f>
        <v>534.18556543232285</v>
      </c>
      <c r="C75" s="4">
        <f>-IPMT('With Loan'!$D$41/12,'30% Down Amortization'!$A75,360,'With Loan'!$D$40,0,0)</f>
        <v>781.95652772425399</v>
      </c>
      <c r="D75" s="4">
        <f t="shared" si="3"/>
        <v>1316.1420931565767</v>
      </c>
      <c r="E75" s="3">
        <f t="shared" si="2"/>
        <v>249691.90330632916</v>
      </c>
    </row>
    <row r="76" spans="1:5">
      <c r="A76">
        <v>73</v>
      </c>
      <c r="B76" s="4">
        <f>-PPMT('With Loan'!$D$41/12,'30% Down Amortization'!$A76,360,'With Loan'!$D$40,0,0)</f>
        <v>535.85489532429892</v>
      </c>
      <c r="C76" s="4">
        <f>-IPMT('With Loan'!$D$41/12,'30% Down Amortization'!$A76,360,'With Loan'!$D$40,0,0)</f>
        <v>780.28719783227814</v>
      </c>
      <c r="D76" s="4">
        <f t="shared" si="3"/>
        <v>1316.1420931565772</v>
      </c>
      <c r="E76" s="3">
        <f t="shared" si="2"/>
        <v>249156.04841100486</v>
      </c>
    </row>
    <row r="77" spans="1:5">
      <c r="A77">
        <v>74</v>
      </c>
      <c r="B77" s="4">
        <f>-PPMT('With Loan'!$D$41/12,'30% Down Amortization'!$A77,360,'With Loan'!$D$40,0,0)</f>
        <v>537.52944187218736</v>
      </c>
      <c r="C77" s="4">
        <f>-IPMT('With Loan'!$D$41/12,'30% Down Amortization'!$A77,360,'With Loan'!$D$40,0,0)</f>
        <v>778.6126512843897</v>
      </c>
      <c r="D77" s="4">
        <f t="shared" si="3"/>
        <v>1316.1420931565772</v>
      </c>
      <c r="E77" s="3">
        <f t="shared" si="2"/>
        <v>248618.51896913268</v>
      </c>
    </row>
    <row r="78" spans="1:5">
      <c r="A78">
        <v>75</v>
      </c>
      <c r="B78" s="4">
        <f>-PPMT('With Loan'!$D$41/12,'30% Down Amortization'!$A78,360,'With Loan'!$D$40,0,0)</f>
        <v>539.20922137803791</v>
      </c>
      <c r="C78" s="4">
        <f>-IPMT('With Loan'!$D$41/12,'30% Down Amortization'!$A78,360,'With Loan'!$D$40,0,0)</f>
        <v>776.93287177853915</v>
      </c>
      <c r="D78" s="4">
        <f t="shared" si="3"/>
        <v>1316.1420931565772</v>
      </c>
      <c r="E78" s="3">
        <f t="shared" si="2"/>
        <v>248079.30974775465</v>
      </c>
    </row>
    <row r="79" spans="1:5">
      <c r="A79">
        <v>76</v>
      </c>
      <c r="B79" s="4">
        <f>-PPMT('With Loan'!$D$41/12,'30% Down Amortization'!$A79,360,'With Loan'!$D$40,0,0)</f>
        <v>540.89425019484429</v>
      </c>
      <c r="C79" s="4">
        <f>-IPMT('With Loan'!$D$41/12,'30% Down Amortization'!$A79,360,'With Loan'!$D$40,0,0)</f>
        <v>775.24784296173277</v>
      </c>
      <c r="D79" s="4">
        <f t="shared" si="3"/>
        <v>1316.1420931565772</v>
      </c>
      <c r="E79" s="3">
        <f t="shared" si="2"/>
        <v>247538.41549755982</v>
      </c>
    </row>
    <row r="80" spans="1:5">
      <c r="A80">
        <v>77</v>
      </c>
      <c r="B80" s="4">
        <f>-PPMT('With Loan'!$D$41/12,'30% Down Amortization'!$A80,360,'With Loan'!$D$40,0,0)</f>
        <v>542.58454472670314</v>
      </c>
      <c r="C80" s="4">
        <f>-IPMT('With Loan'!$D$41/12,'30% Down Amortization'!$A80,360,'With Loan'!$D$40,0,0)</f>
        <v>773.5575484298738</v>
      </c>
      <c r="D80" s="4">
        <f t="shared" si="3"/>
        <v>1316.1420931565769</v>
      </c>
      <c r="E80" s="3">
        <f t="shared" si="2"/>
        <v>246995.83095283312</v>
      </c>
    </row>
    <row r="81" spans="1:5">
      <c r="A81">
        <v>78</v>
      </c>
      <c r="B81" s="4">
        <f>-PPMT('With Loan'!$D$41/12,'30% Down Amortization'!$A81,360,'With Loan'!$D$40,0,0)</f>
        <v>544.2801214289741</v>
      </c>
      <c r="C81" s="4">
        <f>-IPMT('With Loan'!$D$41/12,'30% Down Amortization'!$A81,360,'With Loan'!$D$40,0,0)</f>
        <v>771.86197172760296</v>
      </c>
      <c r="D81" s="4">
        <f t="shared" si="3"/>
        <v>1316.1420931565772</v>
      </c>
      <c r="E81" s="3">
        <f t="shared" si="2"/>
        <v>246451.55083140414</v>
      </c>
    </row>
    <row r="82" spans="1:5">
      <c r="A82">
        <v>79</v>
      </c>
      <c r="B82" s="4">
        <f>-PPMT('With Loan'!$D$41/12,'30% Down Amortization'!$A82,360,'With Loan'!$D$40,0,0)</f>
        <v>545.98099680843961</v>
      </c>
      <c r="C82" s="4">
        <f>-IPMT('With Loan'!$D$41/12,'30% Down Amortization'!$A82,360,'With Loan'!$D$40,0,0)</f>
        <v>770.16109634813733</v>
      </c>
      <c r="D82" s="4">
        <f t="shared" si="3"/>
        <v>1316.1420931565769</v>
      </c>
      <c r="E82" s="3">
        <f t="shared" si="2"/>
        <v>245905.56983459569</v>
      </c>
    </row>
    <row r="83" spans="1:5">
      <c r="A83">
        <v>80</v>
      </c>
      <c r="B83" s="4">
        <f>-PPMT('With Loan'!$D$41/12,'30% Down Amortization'!$A83,360,'With Loan'!$D$40,0,0)</f>
        <v>547.68718742346607</v>
      </c>
      <c r="C83" s="4">
        <f>-IPMT('With Loan'!$D$41/12,'30% Down Amortization'!$A83,360,'With Loan'!$D$40,0,0)</f>
        <v>768.45490573311099</v>
      </c>
      <c r="D83" s="4">
        <f t="shared" si="3"/>
        <v>1316.1420931565772</v>
      </c>
      <c r="E83" s="3">
        <f t="shared" si="2"/>
        <v>245357.88264717223</v>
      </c>
    </row>
    <row r="84" spans="1:5">
      <c r="A84">
        <v>81</v>
      </c>
      <c r="B84" s="4">
        <f>-PPMT('With Loan'!$D$41/12,'30% Down Amortization'!$A84,360,'With Loan'!$D$40,0,0)</f>
        <v>549.39870988416442</v>
      </c>
      <c r="C84" s="4">
        <f>-IPMT('With Loan'!$D$41/12,'30% Down Amortization'!$A84,360,'With Loan'!$D$40,0,0)</f>
        <v>766.74338327241264</v>
      </c>
      <c r="D84" s="4">
        <f t="shared" si="3"/>
        <v>1316.1420931565772</v>
      </c>
      <c r="E84" s="3">
        <f t="shared" si="2"/>
        <v>244808.48393728805</v>
      </c>
    </row>
    <row r="85" spans="1:5">
      <c r="A85">
        <v>82</v>
      </c>
      <c r="B85" s="4">
        <f>-PPMT('With Loan'!$D$41/12,'30% Down Amortization'!$A85,360,'With Loan'!$D$40,0,0)</f>
        <v>551.1155808525524</v>
      </c>
      <c r="C85" s="4">
        <f>-IPMT('With Loan'!$D$41/12,'30% Down Amortization'!$A85,360,'With Loan'!$D$40,0,0)</f>
        <v>765.02651230402466</v>
      </c>
      <c r="D85" s="4">
        <f t="shared" si="3"/>
        <v>1316.1420931565772</v>
      </c>
      <c r="E85" s="3">
        <f t="shared" si="2"/>
        <v>244257.3683564355</v>
      </c>
    </row>
    <row r="86" spans="1:5">
      <c r="A86">
        <v>83</v>
      </c>
      <c r="B86" s="4">
        <f>-PPMT('With Loan'!$D$41/12,'30% Down Amortization'!$A86,360,'With Loan'!$D$40,0,0)</f>
        <v>552.83781704271667</v>
      </c>
      <c r="C86" s="4">
        <f>-IPMT('With Loan'!$D$41/12,'30% Down Amortization'!$A86,360,'With Loan'!$D$40,0,0)</f>
        <v>763.30427611386051</v>
      </c>
      <c r="D86" s="4">
        <f t="shared" si="3"/>
        <v>1316.1420931565772</v>
      </c>
      <c r="E86" s="3">
        <f t="shared" si="2"/>
        <v>243704.53053939278</v>
      </c>
    </row>
    <row r="87" spans="1:5">
      <c r="A87">
        <v>84</v>
      </c>
      <c r="B87" s="4">
        <f>-PPMT('With Loan'!$D$41/12,'30% Down Amortization'!$A87,360,'With Loan'!$D$40,0,0)</f>
        <v>554.56543522097502</v>
      </c>
      <c r="C87" s="4">
        <f>-IPMT('With Loan'!$D$41/12,'30% Down Amortization'!$A87,360,'With Loan'!$D$40,0,0)</f>
        <v>761.57665793560204</v>
      </c>
      <c r="D87" s="4">
        <f t="shared" si="3"/>
        <v>1316.1420931565772</v>
      </c>
      <c r="E87" s="3">
        <f t="shared" si="2"/>
        <v>243149.9651041718</v>
      </c>
    </row>
    <row r="88" spans="1:5">
      <c r="A88">
        <v>85</v>
      </c>
      <c r="B88" s="4">
        <f>-PPMT('With Loan'!$D$41/12,'30% Down Amortization'!$A88,360,'With Loan'!$D$40,0,0)</f>
        <v>556.29845220604068</v>
      </c>
      <c r="C88" s="4">
        <f>-IPMT('With Loan'!$D$41/12,'30% Down Amortization'!$A88,360,'With Loan'!$D$40,0,0)</f>
        <v>759.8436409505365</v>
      </c>
      <c r="D88" s="4">
        <f t="shared" si="3"/>
        <v>1316.1420931565772</v>
      </c>
      <c r="E88" s="3">
        <f t="shared" si="2"/>
        <v>242593.66665196576</v>
      </c>
    </row>
    <row r="89" spans="1:5">
      <c r="A89">
        <v>86</v>
      </c>
      <c r="B89" s="4">
        <f>-PPMT('With Loan'!$D$41/12,'30% Down Amortization'!$A89,360,'With Loan'!$D$40,0,0)</f>
        <v>558.03688486918463</v>
      </c>
      <c r="C89" s="4">
        <f>-IPMT('With Loan'!$D$41/12,'30% Down Amortization'!$A89,360,'With Loan'!$D$40,0,0)</f>
        <v>758.10520828739243</v>
      </c>
      <c r="D89" s="4">
        <f t="shared" si="3"/>
        <v>1316.1420931565772</v>
      </c>
      <c r="E89" s="3">
        <f t="shared" si="2"/>
        <v>242035.62976709657</v>
      </c>
    </row>
    <row r="90" spans="1:5">
      <c r="A90">
        <v>87</v>
      </c>
      <c r="B90" s="4">
        <f>-PPMT('With Loan'!$D$41/12,'30% Down Amortization'!$A90,360,'With Loan'!$D$40,0,0)</f>
        <v>559.78075013440071</v>
      </c>
      <c r="C90" s="4">
        <f>-IPMT('With Loan'!$D$41/12,'30% Down Amortization'!$A90,360,'With Loan'!$D$40,0,0)</f>
        <v>756.36134302217636</v>
      </c>
      <c r="D90" s="4">
        <f t="shared" si="3"/>
        <v>1316.1420931565772</v>
      </c>
      <c r="E90" s="3">
        <f t="shared" si="2"/>
        <v>241475.84901696217</v>
      </c>
    </row>
    <row r="91" spans="1:5">
      <c r="A91">
        <v>88</v>
      </c>
      <c r="B91" s="4">
        <f>-PPMT('With Loan'!$D$41/12,'30% Down Amortization'!$A91,360,'With Loan'!$D$40,0,0)</f>
        <v>561.53006497857075</v>
      </c>
      <c r="C91" s="4">
        <f>-IPMT('With Loan'!$D$41/12,'30% Down Amortization'!$A91,360,'With Loan'!$D$40,0,0)</f>
        <v>754.61202817800631</v>
      </c>
      <c r="D91" s="4">
        <f t="shared" si="3"/>
        <v>1316.1420931565772</v>
      </c>
      <c r="E91" s="3">
        <f t="shared" si="2"/>
        <v>240914.31895198359</v>
      </c>
    </row>
    <row r="92" spans="1:5">
      <c r="A92">
        <v>89</v>
      </c>
      <c r="B92" s="4">
        <f>-PPMT('With Loan'!$D$41/12,'30% Down Amortization'!$A92,360,'With Loan'!$D$40,0,0)</f>
        <v>563.28484643162881</v>
      </c>
      <c r="C92" s="4">
        <f>-IPMT('With Loan'!$D$41/12,'30% Down Amortization'!$A92,360,'With Loan'!$D$40,0,0)</f>
        <v>752.85724672494848</v>
      </c>
      <c r="D92" s="4">
        <f t="shared" si="3"/>
        <v>1316.1420931565772</v>
      </c>
      <c r="E92" s="3">
        <f t="shared" si="2"/>
        <v>240351.03410555195</v>
      </c>
    </row>
    <row r="93" spans="1:5">
      <c r="A93">
        <v>90</v>
      </c>
      <c r="B93" s="4">
        <f>-PPMT('With Loan'!$D$41/12,'30% Down Amortization'!$A93,360,'With Loan'!$D$40,0,0)</f>
        <v>565.04511157672766</v>
      </c>
      <c r="C93" s="4">
        <f>-IPMT('With Loan'!$D$41/12,'30% Down Amortization'!$A93,360,'With Loan'!$D$40,0,0)</f>
        <v>751.0969815798494</v>
      </c>
      <c r="D93" s="4">
        <f t="shared" si="3"/>
        <v>1316.1420931565772</v>
      </c>
      <c r="E93" s="3">
        <f t="shared" si="2"/>
        <v>239785.98899397522</v>
      </c>
    </row>
    <row r="94" spans="1:5">
      <c r="A94">
        <v>91</v>
      </c>
      <c r="B94" s="4">
        <f>-PPMT('With Loan'!$D$41/12,'30% Down Amortization'!$A94,360,'With Loan'!$D$40,0,0)</f>
        <v>566.81087755040483</v>
      </c>
      <c r="C94" s="4">
        <f>-IPMT('With Loan'!$D$41/12,'30% Down Amortization'!$A94,360,'With Loan'!$D$40,0,0)</f>
        <v>749.33121560617224</v>
      </c>
      <c r="D94" s="4">
        <f t="shared" si="3"/>
        <v>1316.1420931565772</v>
      </c>
      <c r="E94" s="3">
        <f t="shared" si="2"/>
        <v>239219.17811642482</v>
      </c>
    </row>
    <row r="95" spans="1:5">
      <c r="A95">
        <v>92</v>
      </c>
      <c r="B95" s="4">
        <f>-PPMT('With Loan'!$D$41/12,'30% Down Amortization'!$A95,360,'With Loan'!$D$40,0,0)</f>
        <v>568.58216154274987</v>
      </c>
      <c r="C95" s="4">
        <f>-IPMT('With Loan'!$D$41/12,'30% Down Amortization'!$A95,360,'With Loan'!$D$40,0,0)</f>
        <v>747.55993161382719</v>
      </c>
      <c r="D95" s="4">
        <f t="shared" si="3"/>
        <v>1316.1420931565772</v>
      </c>
      <c r="E95" s="3">
        <f t="shared" si="2"/>
        <v>238650.59595488207</v>
      </c>
    </row>
    <row r="96" spans="1:5">
      <c r="A96">
        <v>93</v>
      </c>
      <c r="B96" s="4">
        <f>-PPMT('With Loan'!$D$41/12,'30% Down Amortization'!$A96,360,'With Loan'!$D$40,0,0)</f>
        <v>570.35898079757089</v>
      </c>
      <c r="C96" s="4">
        <f>-IPMT('With Loan'!$D$41/12,'30% Down Amortization'!$A96,360,'With Loan'!$D$40,0,0)</f>
        <v>745.78311235900605</v>
      </c>
      <c r="D96" s="4">
        <f t="shared" si="3"/>
        <v>1316.1420931565769</v>
      </c>
      <c r="E96" s="3">
        <f t="shared" si="2"/>
        <v>238080.23697408449</v>
      </c>
    </row>
    <row r="97" spans="1:5">
      <c r="A97">
        <v>94</v>
      </c>
      <c r="B97" s="4">
        <f>-PPMT('With Loan'!$D$41/12,'30% Down Amortization'!$A97,360,'With Loan'!$D$40,0,0)</f>
        <v>572.14135261256342</v>
      </c>
      <c r="C97" s="4">
        <f>-IPMT('With Loan'!$D$41/12,'30% Down Amortization'!$A97,360,'With Loan'!$D$40,0,0)</f>
        <v>744.00074054401364</v>
      </c>
      <c r="D97" s="4">
        <f t="shared" si="3"/>
        <v>1316.1420931565772</v>
      </c>
      <c r="E97" s="3">
        <f t="shared" si="2"/>
        <v>237508.09562147193</v>
      </c>
    </row>
    <row r="98" spans="1:5">
      <c r="A98">
        <v>95</v>
      </c>
      <c r="B98" s="4">
        <f>-PPMT('With Loan'!$D$41/12,'30% Down Amortization'!$A98,360,'With Loan'!$D$40,0,0)</f>
        <v>573.92929433947756</v>
      </c>
      <c r="C98" s="4">
        <f>-IPMT('With Loan'!$D$41/12,'30% Down Amortization'!$A98,360,'With Loan'!$D$40,0,0)</f>
        <v>742.2127988170995</v>
      </c>
      <c r="D98" s="4">
        <f t="shared" si="3"/>
        <v>1316.1420931565772</v>
      </c>
      <c r="E98" s="3">
        <f t="shared" ref="E98:E161" si="4">E97-B98</f>
        <v>236934.16632713247</v>
      </c>
    </row>
    <row r="99" spans="1:5">
      <c r="A99">
        <v>96</v>
      </c>
      <c r="B99" s="4">
        <f>-PPMT('With Loan'!$D$41/12,'30% Down Amortization'!$A99,360,'With Loan'!$D$40,0,0)</f>
        <v>575.72282338428852</v>
      </c>
      <c r="C99" s="4">
        <f>-IPMT('With Loan'!$D$41/12,'30% Down Amortization'!$A99,360,'With Loan'!$D$40,0,0)</f>
        <v>740.41926977228854</v>
      </c>
      <c r="D99" s="4">
        <f t="shared" si="3"/>
        <v>1316.1420931565772</v>
      </c>
      <c r="E99" s="3">
        <f t="shared" si="4"/>
        <v>236358.44350374819</v>
      </c>
    </row>
    <row r="100" spans="1:5">
      <c r="A100">
        <v>97</v>
      </c>
      <c r="B100" s="4">
        <f>-PPMT('With Loan'!$D$41/12,'30% Down Amortization'!$A100,360,'With Loan'!$D$40,0,0)</f>
        <v>577.52195720736438</v>
      </c>
      <c r="C100" s="4">
        <f>-IPMT('With Loan'!$D$41/12,'30% Down Amortization'!$A100,360,'With Loan'!$D$40,0,0)</f>
        <v>738.62013594921257</v>
      </c>
      <c r="D100" s="4">
        <f t="shared" si="3"/>
        <v>1316.1420931565769</v>
      </c>
      <c r="E100" s="3">
        <f t="shared" si="4"/>
        <v>235780.92154654083</v>
      </c>
    </row>
    <row r="101" spans="1:5">
      <c r="A101">
        <v>98</v>
      </c>
      <c r="B101" s="4">
        <f>-PPMT('With Loan'!$D$41/12,'30% Down Amortization'!$A101,360,'With Loan'!$D$40,0,0)</f>
        <v>579.32671332363736</v>
      </c>
      <c r="C101" s="4">
        <f>-IPMT('With Loan'!$D$41/12,'30% Down Amortization'!$A101,360,'With Loan'!$D$40,0,0)</f>
        <v>736.81537983293958</v>
      </c>
      <c r="D101" s="4">
        <f t="shared" si="3"/>
        <v>1316.1420931565769</v>
      </c>
      <c r="E101" s="3">
        <f t="shared" si="4"/>
        <v>235201.59483321718</v>
      </c>
    </row>
    <row r="102" spans="1:5">
      <c r="A102">
        <v>99</v>
      </c>
      <c r="B102" s="4">
        <f>-PPMT('With Loan'!$D$41/12,'30% Down Amortization'!$A102,360,'With Loan'!$D$40,0,0)</f>
        <v>581.13710930277375</v>
      </c>
      <c r="C102" s="4">
        <f>-IPMT('With Loan'!$D$41/12,'30% Down Amortization'!$A102,360,'With Loan'!$D$40,0,0)</f>
        <v>735.00498385380331</v>
      </c>
      <c r="D102" s="4">
        <f t="shared" si="3"/>
        <v>1316.1420931565772</v>
      </c>
      <c r="E102" s="3">
        <f t="shared" si="4"/>
        <v>234620.45772391441</v>
      </c>
    </row>
    <row r="103" spans="1:5">
      <c r="A103">
        <v>100</v>
      </c>
      <c r="B103" s="4">
        <f>-PPMT('With Loan'!$D$41/12,'30% Down Amortization'!$A103,360,'With Loan'!$D$40,0,0)</f>
        <v>582.953162769345</v>
      </c>
      <c r="C103" s="4">
        <f>-IPMT('With Loan'!$D$41/12,'30% Down Amortization'!$A103,360,'With Loan'!$D$40,0,0)</f>
        <v>733.18893038723195</v>
      </c>
      <c r="D103" s="4">
        <f t="shared" si="3"/>
        <v>1316.1420931565769</v>
      </c>
      <c r="E103" s="3">
        <f t="shared" si="4"/>
        <v>234037.50456114506</v>
      </c>
    </row>
    <row r="104" spans="1:5">
      <c r="A104">
        <v>101</v>
      </c>
      <c r="B104" s="4">
        <f>-PPMT('With Loan'!$D$41/12,'30% Down Amortization'!$A104,360,'With Loan'!$D$40,0,0)</f>
        <v>584.77489140299917</v>
      </c>
      <c r="C104" s="4">
        <f>-IPMT('With Loan'!$D$41/12,'30% Down Amortization'!$A104,360,'With Loan'!$D$40,0,0)</f>
        <v>731.367201753578</v>
      </c>
      <c r="D104" s="4">
        <f t="shared" si="3"/>
        <v>1316.1420931565772</v>
      </c>
      <c r="E104" s="3">
        <f t="shared" si="4"/>
        <v>233452.72966974205</v>
      </c>
    </row>
    <row r="105" spans="1:5">
      <c r="A105">
        <v>102</v>
      </c>
      <c r="B105" s="4">
        <f>-PPMT('With Loan'!$D$41/12,'30% Down Amortization'!$A105,360,'With Loan'!$D$40,0,0)</f>
        <v>586.60231293863353</v>
      </c>
      <c r="C105" s="4">
        <f>-IPMT('With Loan'!$D$41/12,'30% Down Amortization'!$A105,360,'With Loan'!$D$40,0,0)</f>
        <v>729.53978021794353</v>
      </c>
      <c r="D105" s="4">
        <f t="shared" si="3"/>
        <v>1316.1420931565772</v>
      </c>
      <c r="E105" s="3">
        <f t="shared" si="4"/>
        <v>232866.12735680342</v>
      </c>
    </row>
    <row r="106" spans="1:5">
      <c r="A106">
        <v>103</v>
      </c>
      <c r="B106" s="4">
        <f>-PPMT('With Loan'!$D$41/12,'30% Down Amortization'!$A106,360,'With Loan'!$D$40,0,0)</f>
        <v>588.43544516656675</v>
      </c>
      <c r="C106" s="4">
        <f>-IPMT('With Loan'!$D$41/12,'30% Down Amortization'!$A106,360,'With Loan'!$D$40,0,0)</f>
        <v>727.70664799001031</v>
      </c>
      <c r="D106" s="4">
        <f t="shared" si="3"/>
        <v>1316.1420931565772</v>
      </c>
      <c r="E106" s="3">
        <f t="shared" si="4"/>
        <v>232277.69191163685</v>
      </c>
    </row>
    <row r="107" spans="1:5">
      <c r="A107">
        <v>104</v>
      </c>
      <c r="B107" s="4">
        <f>-PPMT('With Loan'!$D$41/12,'30% Down Amortization'!$A107,360,'With Loan'!$D$40,0,0)</f>
        <v>590.27430593271231</v>
      </c>
      <c r="C107" s="4">
        <f>-IPMT('With Loan'!$D$41/12,'30% Down Amortization'!$A107,360,'With Loan'!$D$40,0,0)</f>
        <v>725.86778722386475</v>
      </c>
      <c r="D107" s="4">
        <f t="shared" si="3"/>
        <v>1316.1420931565772</v>
      </c>
      <c r="E107" s="3">
        <f t="shared" si="4"/>
        <v>231687.41760570413</v>
      </c>
    </row>
    <row r="108" spans="1:5">
      <c r="A108">
        <v>105</v>
      </c>
      <c r="B108" s="4">
        <f>-PPMT('With Loan'!$D$41/12,'30% Down Amortization'!$A108,360,'With Loan'!$D$40,0,0)</f>
        <v>592.11891313875208</v>
      </c>
      <c r="C108" s="4">
        <f>-IPMT('With Loan'!$D$41/12,'30% Down Amortization'!$A108,360,'With Loan'!$D$40,0,0)</f>
        <v>724.02318001782498</v>
      </c>
      <c r="D108" s="4">
        <f t="shared" si="3"/>
        <v>1316.1420931565772</v>
      </c>
      <c r="E108" s="3">
        <f t="shared" si="4"/>
        <v>231095.29869256538</v>
      </c>
    </row>
    <row r="109" spans="1:5">
      <c r="A109">
        <v>106</v>
      </c>
      <c r="B109" s="4">
        <f>-PPMT('With Loan'!$D$41/12,'30% Down Amortization'!$A109,360,'With Loan'!$D$40,0,0)</f>
        <v>593.96928474231072</v>
      </c>
      <c r="C109" s="4">
        <f>-IPMT('With Loan'!$D$41/12,'30% Down Amortization'!$A109,360,'With Loan'!$D$40,0,0)</f>
        <v>722.17280841426634</v>
      </c>
      <c r="D109" s="4">
        <f t="shared" si="3"/>
        <v>1316.1420931565772</v>
      </c>
      <c r="E109" s="3">
        <f t="shared" si="4"/>
        <v>230501.32940782307</v>
      </c>
    </row>
    <row r="110" spans="1:5">
      <c r="A110">
        <v>107</v>
      </c>
      <c r="B110" s="4">
        <f>-PPMT('With Loan'!$D$41/12,'30% Down Amortization'!$A110,360,'With Loan'!$D$40,0,0)</f>
        <v>595.82543875713031</v>
      </c>
      <c r="C110" s="4">
        <f>-IPMT('With Loan'!$D$41/12,'30% Down Amortization'!$A110,360,'With Loan'!$D$40,0,0)</f>
        <v>720.31665439944675</v>
      </c>
      <c r="D110" s="4">
        <f t="shared" si="3"/>
        <v>1316.1420931565772</v>
      </c>
      <c r="E110" s="3">
        <f t="shared" si="4"/>
        <v>229905.50396906593</v>
      </c>
    </row>
    <row r="111" spans="1:5">
      <c r="A111">
        <v>108</v>
      </c>
      <c r="B111" s="4">
        <f>-PPMT('With Loan'!$D$41/12,'30% Down Amortization'!$A111,360,'With Loan'!$D$40,0,0)</f>
        <v>597.68739325324634</v>
      </c>
      <c r="C111" s="4">
        <f>-IPMT('With Loan'!$D$41/12,'30% Down Amortization'!$A111,360,'With Loan'!$D$40,0,0)</f>
        <v>718.45469990333072</v>
      </c>
      <c r="D111" s="4">
        <f t="shared" si="3"/>
        <v>1316.1420931565772</v>
      </c>
      <c r="E111" s="3">
        <f t="shared" si="4"/>
        <v>229307.8165758127</v>
      </c>
    </row>
    <row r="112" spans="1:5">
      <c r="A112">
        <v>109</v>
      </c>
      <c r="B112" s="4">
        <f>-PPMT('With Loan'!$D$41/12,'30% Down Amortization'!$A112,360,'With Loan'!$D$40,0,0)</f>
        <v>599.55516635716276</v>
      </c>
      <c r="C112" s="4">
        <f>-IPMT('With Loan'!$D$41/12,'30% Down Amortization'!$A112,360,'With Loan'!$D$40,0,0)</f>
        <v>716.58692679941419</v>
      </c>
      <c r="D112" s="4">
        <f t="shared" si="3"/>
        <v>1316.1420931565769</v>
      </c>
      <c r="E112" s="3">
        <f t="shared" si="4"/>
        <v>228708.26140945553</v>
      </c>
    </row>
    <row r="113" spans="1:5">
      <c r="A113">
        <v>110</v>
      </c>
      <c r="B113" s="4">
        <f>-PPMT('With Loan'!$D$41/12,'30% Down Amortization'!$A113,360,'With Loan'!$D$40,0,0)</f>
        <v>601.42877625202891</v>
      </c>
      <c r="C113" s="4">
        <f>-IPMT('With Loan'!$D$41/12,'30% Down Amortization'!$A113,360,'With Loan'!$D$40,0,0)</f>
        <v>714.71331690454804</v>
      </c>
      <c r="D113" s="4">
        <f t="shared" si="3"/>
        <v>1316.1420931565769</v>
      </c>
      <c r="E113" s="3">
        <f t="shared" si="4"/>
        <v>228106.83263320351</v>
      </c>
    </row>
    <row r="114" spans="1:5">
      <c r="A114">
        <v>111</v>
      </c>
      <c r="B114" s="4">
        <f>-PPMT('With Loan'!$D$41/12,'30% Down Amortization'!$A114,360,'With Loan'!$D$40,0,0)</f>
        <v>603.30824117781651</v>
      </c>
      <c r="C114" s="4">
        <f>-IPMT('With Loan'!$D$41/12,'30% Down Amortization'!$A114,360,'With Loan'!$D$40,0,0)</f>
        <v>712.83385197876055</v>
      </c>
      <c r="D114" s="4">
        <f t="shared" si="3"/>
        <v>1316.1420931565772</v>
      </c>
      <c r="E114" s="3">
        <f t="shared" si="4"/>
        <v>227503.52439202569</v>
      </c>
    </row>
    <row r="115" spans="1:5">
      <c r="A115">
        <v>112</v>
      </c>
      <c r="B115" s="4">
        <f>-PPMT('With Loan'!$D$41/12,'30% Down Amortization'!$A115,360,'With Loan'!$D$40,0,0)</f>
        <v>605.19357943149726</v>
      </c>
      <c r="C115" s="4">
        <f>-IPMT('With Loan'!$D$41/12,'30% Down Amortization'!$A115,360,'With Loan'!$D$40,0,0)</f>
        <v>710.94851372507981</v>
      </c>
      <c r="D115" s="4">
        <f t="shared" si="3"/>
        <v>1316.1420931565772</v>
      </c>
      <c r="E115" s="3">
        <f t="shared" si="4"/>
        <v>226898.33081259418</v>
      </c>
    </row>
    <row r="116" spans="1:5">
      <c r="A116">
        <v>113</v>
      </c>
      <c r="B116" s="4">
        <f>-PPMT('With Loan'!$D$41/12,'30% Down Amortization'!$A116,360,'With Loan'!$D$40,0,0)</f>
        <v>607.0848093672206</v>
      </c>
      <c r="C116" s="4">
        <f>-IPMT('With Loan'!$D$41/12,'30% Down Amortization'!$A116,360,'With Loan'!$D$40,0,0)</f>
        <v>709.05728378935646</v>
      </c>
      <c r="D116" s="4">
        <f t="shared" si="3"/>
        <v>1316.1420931565772</v>
      </c>
      <c r="E116" s="3">
        <f t="shared" si="4"/>
        <v>226291.24600322696</v>
      </c>
    </row>
    <row r="117" spans="1:5">
      <c r="A117">
        <v>114</v>
      </c>
      <c r="B117" s="4">
        <f>-PPMT('With Loan'!$D$41/12,'30% Down Amortization'!$A117,360,'With Loan'!$D$40,0,0)</f>
        <v>608.98194939649318</v>
      </c>
      <c r="C117" s="4">
        <f>-IPMT('With Loan'!$D$41/12,'30% Down Amortization'!$A117,360,'With Loan'!$D$40,0,0)</f>
        <v>707.160143760084</v>
      </c>
      <c r="D117" s="4">
        <f t="shared" si="3"/>
        <v>1316.1420931565772</v>
      </c>
      <c r="E117" s="3">
        <f t="shared" si="4"/>
        <v>225682.26405383047</v>
      </c>
    </row>
    <row r="118" spans="1:5">
      <c r="A118">
        <v>115</v>
      </c>
      <c r="B118" s="4">
        <f>-PPMT('With Loan'!$D$41/12,'30% Down Amortization'!$A118,360,'With Loan'!$D$40,0,0)</f>
        <v>610.88501798835728</v>
      </c>
      <c r="C118" s="4">
        <f>-IPMT('With Loan'!$D$41/12,'30% Down Amortization'!$A118,360,'With Loan'!$D$40,0,0)</f>
        <v>705.25707516821979</v>
      </c>
      <c r="D118" s="4">
        <f t="shared" si="3"/>
        <v>1316.1420931565772</v>
      </c>
      <c r="E118" s="3">
        <f t="shared" si="4"/>
        <v>225071.37903584211</v>
      </c>
    </row>
    <row r="119" spans="1:5">
      <c r="A119">
        <v>116</v>
      </c>
      <c r="B119" s="4">
        <f>-PPMT('With Loan'!$D$41/12,'30% Down Amortization'!$A119,360,'With Loan'!$D$40,0,0)</f>
        <v>612.79403366957081</v>
      </c>
      <c r="C119" s="4">
        <f>-IPMT('With Loan'!$D$41/12,'30% Down Amortization'!$A119,360,'With Loan'!$D$40,0,0)</f>
        <v>703.34805948700614</v>
      </c>
      <c r="D119" s="4">
        <f t="shared" si="3"/>
        <v>1316.1420931565769</v>
      </c>
      <c r="E119" s="3">
        <f t="shared" si="4"/>
        <v>224458.58500217253</v>
      </c>
    </row>
    <row r="120" spans="1:5">
      <c r="A120">
        <v>117</v>
      </c>
      <c r="B120" s="4">
        <f>-PPMT('With Loan'!$D$41/12,'30% Down Amortization'!$A120,360,'With Loan'!$D$40,0,0)</f>
        <v>614.70901502478819</v>
      </c>
      <c r="C120" s="4">
        <f>-IPMT('With Loan'!$D$41/12,'30% Down Amortization'!$A120,360,'With Loan'!$D$40,0,0)</f>
        <v>701.43307813178887</v>
      </c>
      <c r="D120" s="4">
        <f t="shared" si="3"/>
        <v>1316.1420931565772</v>
      </c>
      <c r="E120" s="3">
        <f t="shared" si="4"/>
        <v>223843.87598714774</v>
      </c>
    </row>
    <row r="121" spans="1:5">
      <c r="A121">
        <v>118</v>
      </c>
      <c r="B121" s="4">
        <f>-PPMT('With Loan'!$D$41/12,'30% Down Amortization'!$A121,360,'With Loan'!$D$40,0,0)</f>
        <v>616.62998069674063</v>
      </c>
      <c r="C121" s="4">
        <f>-IPMT('With Loan'!$D$41/12,'30% Down Amortization'!$A121,360,'With Loan'!$D$40,0,0)</f>
        <v>699.51211245983643</v>
      </c>
      <c r="D121" s="4">
        <f t="shared" si="3"/>
        <v>1316.1420931565772</v>
      </c>
      <c r="E121" s="3">
        <f t="shared" si="4"/>
        <v>223227.24600645099</v>
      </c>
    </row>
    <row r="122" spans="1:5">
      <c r="A122">
        <v>119</v>
      </c>
      <c r="B122" s="4">
        <f>-PPMT('With Loan'!$D$41/12,'30% Down Amortization'!$A122,360,'With Loan'!$D$40,0,0)</f>
        <v>618.55694938641807</v>
      </c>
      <c r="C122" s="4">
        <f>-IPMT('With Loan'!$D$41/12,'30% Down Amortization'!$A122,360,'With Loan'!$D$40,0,0)</f>
        <v>697.58514377015899</v>
      </c>
      <c r="D122" s="4">
        <f t="shared" si="3"/>
        <v>1316.1420931565772</v>
      </c>
      <c r="E122" s="3">
        <f t="shared" si="4"/>
        <v>222608.68905706456</v>
      </c>
    </row>
    <row r="123" spans="1:5">
      <c r="A123">
        <v>120</v>
      </c>
      <c r="B123" s="4">
        <f>-PPMT('With Loan'!$D$41/12,'30% Down Amortization'!$A123,360,'With Loan'!$D$40,0,0)</f>
        <v>620.48993985325069</v>
      </c>
      <c r="C123" s="4">
        <f>-IPMT('With Loan'!$D$41/12,'30% Down Amortization'!$A123,360,'With Loan'!$D$40,0,0)</f>
        <v>695.65215330332649</v>
      </c>
      <c r="D123" s="4">
        <f t="shared" si="3"/>
        <v>1316.1420931565772</v>
      </c>
      <c r="E123" s="3">
        <f t="shared" si="4"/>
        <v>221988.1991172113</v>
      </c>
    </row>
    <row r="124" spans="1:5">
      <c r="A124">
        <v>121</v>
      </c>
      <c r="B124" s="4">
        <f>-PPMT('With Loan'!$D$41/12,'30% Down Amortization'!$A124,360,'With Loan'!$D$40,0,0)</f>
        <v>622.42897091529198</v>
      </c>
      <c r="C124" s="4">
        <f>-IPMT('With Loan'!$D$41/12,'30% Down Amortization'!$A124,360,'With Loan'!$D$40,0,0)</f>
        <v>693.71312224128496</v>
      </c>
      <c r="D124" s="4">
        <f t="shared" si="3"/>
        <v>1316.1420931565769</v>
      </c>
      <c r="E124" s="3">
        <f t="shared" si="4"/>
        <v>221365.77014629601</v>
      </c>
    </row>
    <row r="125" spans="1:5">
      <c r="A125">
        <v>122</v>
      </c>
      <c r="B125" s="4">
        <f>-PPMT('With Loan'!$D$41/12,'30% Down Amortization'!$A125,360,'With Loan'!$D$40,0,0)</f>
        <v>624.37406144940223</v>
      </c>
      <c r="C125" s="4">
        <f>-IPMT('With Loan'!$D$41/12,'30% Down Amortization'!$A125,360,'With Loan'!$D$40,0,0)</f>
        <v>691.76803170717483</v>
      </c>
      <c r="D125" s="4">
        <f t="shared" si="3"/>
        <v>1316.1420931565772</v>
      </c>
      <c r="E125" s="3">
        <f t="shared" si="4"/>
        <v>220741.39608484661</v>
      </c>
    </row>
    <row r="126" spans="1:5">
      <c r="A126">
        <v>123</v>
      </c>
      <c r="B126" s="4">
        <f>-PPMT('With Loan'!$D$41/12,'30% Down Amortization'!$A126,360,'With Loan'!$D$40,0,0)</f>
        <v>626.32523039143166</v>
      </c>
      <c r="C126" s="4">
        <f>-IPMT('With Loan'!$D$41/12,'30% Down Amortization'!$A126,360,'With Loan'!$D$40,0,0)</f>
        <v>689.81686276514529</v>
      </c>
      <c r="D126" s="4">
        <f t="shared" si="3"/>
        <v>1316.1420931565769</v>
      </c>
      <c r="E126" s="3">
        <f t="shared" si="4"/>
        <v>220115.07085445517</v>
      </c>
    </row>
    <row r="127" spans="1:5">
      <c r="A127">
        <v>124</v>
      </c>
      <c r="B127" s="4">
        <f>-PPMT('With Loan'!$D$41/12,'30% Down Amortization'!$A127,360,'With Loan'!$D$40,0,0)</f>
        <v>628.28249673640482</v>
      </c>
      <c r="C127" s="4">
        <f>-IPMT('With Loan'!$D$41/12,'30% Down Amortization'!$A127,360,'With Loan'!$D$40,0,0)</f>
        <v>687.85959642017224</v>
      </c>
      <c r="D127" s="4">
        <f t="shared" si="3"/>
        <v>1316.1420931565772</v>
      </c>
      <c r="E127" s="3">
        <f t="shared" si="4"/>
        <v>219486.78835771876</v>
      </c>
    </row>
    <row r="128" spans="1:5">
      <c r="A128">
        <v>125</v>
      </c>
      <c r="B128" s="4">
        <f>-PPMT('With Loan'!$D$41/12,'30% Down Amortization'!$A128,360,'With Loan'!$D$40,0,0)</f>
        <v>630.24587953870605</v>
      </c>
      <c r="C128" s="4">
        <f>-IPMT('With Loan'!$D$41/12,'30% Down Amortization'!$A128,360,'With Loan'!$D$40,0,0)</f>
        <v>685.8962136178709</v>
      </c>
      <c r="D128" s="4">
        <f t="shared" si="3"/>
        <v>1316.1420931565769</v>
      </c>
      <c r="E128" s="3">
        <f t="shared" si="4"/>
        <v>218856.54247818005</v>
      </c>
    </row>
    <row r="129" spans="1:5">
      <c r="A129">
        <v>126</v>
      </c>
      <c r="B129" s="4">
        <f>-PPMT('With Loan'!$D$41/12,'30% Down Amortization'!$A129,360,'With Loan'!$D$40,0,0)</f>
        <v>632.21539791226462</v>
      </c>
      <c r="C129" s="4">
        <f>-IPMT('With Loan'!$D$41/12,'30% Down Amortization'!$A129,360,'With Loan'!$D$40,0,0)</f>
        <v>683.92669524431244</v>
      </c>
      <c r="D129" s="4">
        <f t="shared" si="3"/>
        <v>1316.1420931565772</v>
      </c>
      <c r="E129" s="3">
        <f t="shared" si="4"/>
        <v>218224.3270802678</v>
      </c>
    </row>
    <row r="130" spans="1:5">
      <c r="A130">
        <v>127</v>
      </c>
      <c r="B130" s="4">
        <f>-PPMT('With Loan'!$D$41/12,'30% Down Amortization'!$A130,360,'With Loan'!$D$40,0,0)</f>
        <v>634.19107103074043</v>
      </c>
      <c r="C130" s="4">
        <f>-IPMT('With Loan'!$D$41/12,'30% Down Amortization'!$A130,360,'With Loan'!$D$40,0,0)</f>
        <v>681.95102212583674</v>
      </c>
      <c r="D130" s="4">
        <f t="shared" si="3"/>
        <v>1316.1420931565772</v>
      </c>
      <c r="E130" s="3">
        <f t="shared" si="4"/>
        <v>217590.13600923706</v>
      </c>
    </row>
    <row r="131" spans="1:5">
      <c r="A131">
        <v>128</v>
      </c>
      <c r="B131" s="4">
        <f>-PPMT('With Loan'!$D$41/12,'30% Down Amortization'!$A131,360,'With Loan'!$D$40,0,0)</f>
        <v>636.17291812771145</v>
      </c>
      <c r="C131" s="4">
        <f>-IPMT('With Loan'!$D$41/12,'30% Down Amortization'!$A131,360,'With Loan'!$D$40,0,0)</f>
        <v>679.96917502886561</v>
      </c>
      <c r="D131" s="4">
        <f t="shared" si="3"/>
        <v>1316.1420931565772</v>
      </c>
      <c r="E131" s="3">
        <f t="shared" si="4"/>
        <v>216953.96309110936</v>
      </c>
    </row>
    <row r="132" spans="1:5">
      <c r="A132">
        <v>129</v>
      </c>
      <c r="B132" s="4">
        <f>-PPMT('With Loan'!$D$41/12,'30% Down Amortization'!$A132,360,'With Loan'!$D$40,0,0)</f>
        <v>638.16095849686053</v>
      </c>
      <c r="C132" s="4">
        <f>-IPMT('With Loan'!$D$41/12,'30% Down Amortization'!$A132,360,'With Loan'!$D$40,0,0)</f>
        <v>677.98113465971664</v>
      </c>
      <c r="D132" s="4">
        <f t="shared" si="3"/>
        <v>1316.1420931565772</v>
      </c>
      <c r="E132" s="3">
        <f t="shared" si="4"/>
        <v>216315.8021326125</v>
      </c>
    </row>
    <row r="133" spans="1:5">
      <c r="A133">
        <v>130</v>
      </c>
      <c r="B133" s="4">
        <f>-PPMT('With Loan'!$D$41/12,'30% Down Amortization'!$A133,360,'With Loan'!$D$40,0,0)</f>
        <v>640.15521149216329</v>
      </c>
      <c r="C133" s="4">
        <f>-IPMT('With Loan'!$D$41/12,'30% Down Amortization'!$A133,360,'With Loan'!$D$40,0,0)</f>
        <v>675.98688166441377</v>
      </c>
      <c r="D133" s="4">
        <f t="shared" ref="D133:D196" si="5">B133+C133</f>
        <v>1316.1420931565772</v>
      </c>
      <c r="E133" s="3">
        <f t="shared" si="4"/>
        <v>215675.64692112035</v>
      </c>
    </row>
    <row r="134" spans="1:5">
      <c r="A134">
        <v>131</v>
      </c>
      <c r="B134" s="4">
        <f>-PPMT('With Loan'!$D$41/12,'30% Down Amortization'!$A134,360,'With Loan'!$D$40,0,0)</f>
        <v>642.15569652807631</v>
      </c>
      <c r="C134" s="4">
        <f>-IPMT('With Loan'!$D$41/12,'30% Down Amortization'!$A134,360,'With Loan'!$D$40,0,0)</f>
        <v>673.98639662850087</v>
      </c>
      <c r="D134" s="4">
        <f t="shared" si="5"/>
        <v>1316.1420931565772</v>
      </c>
      <c r="E134" s="3">
        <f t="shared" si="4"/>
        <v>215033.49122459226</v>
      </c>
    </row>
    <row r="135" spans="1:5">
      <c r="A135">
        <v>132</v>
      </c>
      <c r="B135" s="4">
        <f>-PPMT('With Loan'!$D$41/12,'30% Down Amortization'!$A135,360,'With Loan'!$D$40,0,0)</f>
        <v>644.16243307972661</v>
      </c>
      <c r="C135" s="4">
        <f>-IPMT('With Loan'!$D$41/12,'30% Down Amortization'!$A135,360,'With Loan'!$D$40,0,0)</f>
        <v>671.97966007685045</v>
      </c>
      <c r="D135" s="4">
        <f t="shared" si="5"/>
        <v>1316.1420931565772</v>
      </c>
      <c r="E135" s="3">
        <f t="shared" si="4"/>
        <v>214389.32879151253</v>
      </c>
    </row>
    <row r="136" spans="1:5">
      <c r="A136">
        <v>133</v>
      </c>
      <c r="B136" s="4">
        <f>-PPMT('With Loan'!$D$41/12,'30% Down Amortization'!$A136,360,'With Loan'!$D$40,0,0)</f>
        <v>646.17544068310065</v>
      </c>
      <c r="C136" s="4">
        <f>-IPMT('With Loan'!$D$41/12,'30% Down Amortization'!$A136,360,'With Loan'!$D$40,0,0)</f>
        <v>669.96665247347653</v>
      </c>
      <c r="D136" s="4">
        <f t="shared" si="5"/>
        <v>1316.1420931565772</v>
      </c>
      <c r="E136" s="3">
        <f t="shared" si="4"/>
        <v>213743.15335082944</v>
      </c>
    </row>
    <row r="137" spans="1:5">
      <c r="A137">
        <v>134</v>
      </c>
      <c r="B137" s="4">
        <f>-PPMT('With Loan'!$D$41/12,'30% Down Amortization'!$A137,360,'With Loan'!$D$40,0,0)</f>
        <v>648.19473893523536</v>
      </c>
      <c r="C137" s="4">
        <f>-IPMT('With Loan'!$D$41/12,'30% Down Amortization'!$A137,360,'With Loan'!$D$40,0,0)</f>
        <v>667.9473542213417</v>
      </c>
      <c r="D137" s="4">
        <f t="shared" si="5"/>
        <v>1316.1420931565772</v>
      </c>
      <c r="E137" s="3">
        <f t="shared" si="4"/>
        <v>213094.9586118942</v>
      </c>
    </row>
    <row r="138" spans="1:5">
      <c r="A138">
        <v>135</v>
      </c>
      <c r="B138" s="4">
        <f>-PPMT('With Loan'!$D$41/12,'30% Down Amortization'!$A138,360,'With Loan'!$D$40,0,0)</f>
        <v>650.22034749440809</v>
      </c>
      <c r="C138" s="4">
        <f>-IPMT('With Loan'!$D$41/12,'30% Down Amortization'!$A138,360,'With Loan'!$D$40,0,0)</f>
        <v>665.92174566216909</v>
      </c>
      <c r="D138" s="4">
        <f t="shared" si="5"/>
        <v>1316.1420931565772</v>
      </c>
      <c r="E138" s="3">
        <f t="shared" si="4"/>
        <v>212444.73826439978</v>
      </c>
    </row>
    <row r="139" spans="1:5">
      <c r="A139">
        <v>136</v>
      </c>
      <c r="B139" s="4">
        <f>-PPMT('With Loan'!$D$41/12,'30% Down Amortization'!$A139,360,'With Loan'!$D$40,0,0)</f>
        <v>652.25228608032796</v>
      </c>
      <c r="C139" s="4">
        <f>-IPMT('With Loan'!$D$41/12,'30% Down Amortization'!$A139,360,'With Loan'!$D$40,0,0)</f>
        <v>663.88980707624921</v>
      </c>
      <c r="D139" s="4">
        <f t="shared" si="5"/>
        <v>1316.1420931565772</v>
      </c>
      <c r="E139" s="3">
        <f t="shared" si="4"/>
        <v>211792.48597831946</v>
      </c>
    </row>
    <row r="140" spans="1:5">
      <c r="A140">
        <v>137</v>
      </c>
      <c r="B140" s="4">
        <f>-PPMT('With Loan'!$D$41/12,'30% Down Amortization'!$A140,360,'With Loan'!$D$40,0,0)</f>
        <v>654.29057447432899</v>
      </c>
      <c r="C140" s="4">
        <f>-IPMT('With Loan'!$D$41/12,'30% Down Amortization'!$A140,360,'With Loan'!$D$40,0,0)</f>
        <v>661.85151868224818</v>
      </c>
      <c r="D140" s="4">
        <f t="shared" si="5"/>
        <v>1316.1420931565772</v>
      </c>
      <c r="E140" s="3">
        <f t="shared" si="4"/>
        <v>211138.19540384514</v>
      </c>
    </row>
    <row r="141" spans="1:5">
      <c r="A141">
        <v>138</v>
      </c>
      <c r="B141" s="4">
        <f>-PPMT('With Loan'!$D$41/12,'30% Down Amortization'!$A141,360,'With Loan'!$D$40,0,0)</f>
        <v>656.33523251956137</v>
      </c>
      <c r="C141" s="4">
        <f>-IPMT('With Loan'!$D$41/12,'30% Down Amortization'!$A141,360,'With Loan'!$D$40,0,0)</f>
        <v>659.80686063701569</v>
      </c>
      <c r="D141" s="4">
        <f t="shared" si="5"/>
        <v>1316.1420931565772</v>
      </c>
      <c r="E141" s="3">
        <f t="shared" si="4"/>
        <v>210481.86017132556</v>
      </c>
    </row>
    <row r="142" spans="1:5">
      <c r="A142">
        <v>139</v>
      </c>
      <c r="B142" s="4">
        <f>-PPMT('With Loan'!$D$41/12,'30% Down Amortization'!$A142,360,'With Loan'!$D$40,0,0)</f>
        <v>658.38628012118488</v>
      </c>
      <c r="C142" s="4">
        <f>-IPMT('With Loan'!$D$41/12,'30% Down Amortization'!$A142,360,'With Loan'!$D$40,0,0)</f>
        <v>657.75581303539229</v>
      </c>
      <c r="D142" s="4">
        <f t="shared" si="5"/>
        <v>1316.1420931565772</v>
      </c>
      <c r="E142" s="3">
        <f t="shared" si="4"/>
        <v>209823.47389120437</v>
      </c>
    </row>
    <row r="143" spans="1:5">
      <c r="A143">
        <v>140</v>
      </c>
      <c r="B143" s="4">
        <f>-PPMT('With Loan'!$D$41/12,'30% Down Amortization'!$A143,360,'With Loan'!$D$40,0,0)</f>
        <v>660.44373724656361</v>
      </c>
      <c r="C143" s="4">
        <f>-IPMT('With Loan'!$D$41/12,'30% Down Amortization'!$A143,360,'With Loan'!$D$40,0,0)</f>
        <v>655.69835591001345</v>
      </c>
      <c r="D143" s="4">
        <f t="shared" si="5"/>
        <v>1316.1420931565772</v>
      </c>
      <c r="E143" s="3">
        <f t="shared" si="4"/>
        <v>209163.03015395781</v>
      </c>
    </row>
    <row r="144" spans="1:5">
      <c r="A144">
        <v>141</v>
      </c>
      <c r="B144" s="4">
        <f>-PPMT('With Loan'!$D$41/12,'30% Down Amortization'!$A144,360,'With Loan'!$D$40,0,0)</f>
        <v>662.50762392545903</v>
      </c>
      <c r="C144" s="4">
        <f>-IPMT('With Loan'!$D$41/12,'30% Down Amortization'!$A144,360,'With Loan'!$D$40,0,0)</f>
        <v>653.63446923111803</v>
      </c>
      <c r="D144" s="4">
        <f t="shared" si="5"/>
        <v>1316.1420931565772</v>
      </c>
      <c r="E144" s="3">
        <f t="shared" si="4"/>
        <v>208500.52253003235</v>
      </c>
    </row>
    <row r="145" spans="1:5">
      <c r="A145">
        <v>142</v>
      </c>
      <c r="B145" s="4">
        <f>-PPMT('With Loan'!$D$41/12,'30% Down Amortization'!$A145,360,'With Loan'!$D$40,0,0)</f>
        <v>664.57796025022617</v>
      </c>
      <c r="C145" s="4">
        <f>-IPMT('With Loan'!$D$41/12,'30% Down Amortization'!$A145,360,'With Loan'!$D$40,0,0)</f>
        <v>651.56413290635089</v>
      </c>
      <c r="D145" s="4">
        <f t="shared" si="5"/>
        <v>1316.1420931565772</v>
      </c>
      <c r="E145" s="3">
        <f t="shared" si="4"/>
        <v>207835.94456978212</v>
      </c>
    </row>
    <row r="146" spans="1:5">
      <c r="A146">
        <v>143</v>
      </c>
      <c r="B146" s="4">
        <f>-PPMT('With Loan'!$D$41/12,'30% Down Amortization'!$A146,360,'With Loan'!$D$40,0,0)</f>
        <v>666.65476637600818</v>
      </c>
      <c r="C146" s="4">
        <f>-IPMT('With Loan'!$D$41/12,'30% Down Amortization'!$A146,360,'With Loan'!$D$40,0,0)</f>
        <v>649.48732678056888</v>
      </c>
      <c r="D146" s="4">
        <f t="shared" si="5"/>
        <v>1316.1420931565772</v>
      </c>
      <c r="E146" s="3">
        <f t="shared" si="4"/>
        <v>207169.28980340611</v>
      </c>
    </row>
    <row r="147" spans="1:5">
      <c r="A147">
        <v>144</v>
      </c>
      <c r="B147" s="4">
        <f>-PPMT('With Loan'!$D$41/12,'30% Down Amortization'!$A147,360,'With Loan'!$D$40,0,0)</f>
        <v>668.73806252093323</v>
      </c>
      <c r="C147" s="4">
        <f>-IPMT('With Loan'!$D$41/12,'30% Down Amortization'!$A147,360,'With Loan'!$D$40,0,0)</f>
        <v>647.40403063564395</v>
      </c>
      <c r="D147" s="4">
        <f t="shared" si="5"/>
        <v>1316.1420931565772</v>
      </c>
      <c r="E147" s="3">
        <f t="shared" si="4"/>
        <v>206500.55174088519</v>
      </c>
    </row>
    <row r="148" spans="1:5">
      <c r="A148">
        <v>145</v>
      </c>
      <c r="B148" s="4">
        <f>-PPMT('With Loan'!$D$41/12,'30% Down Amortization'!$A148,360,'With Loan'!$D$40,0,0)</f>
        <v>670.82786896631114</v>
      </c>
      <c r="C148" s="4">
        <f>-IPMT('With Loan'!$D$41/12,'30% Down Amortization'!$A148,360,'With Loan'!$D$40,0,0)</f>
        <v>645.31422419026603</v>
      </c>
      <c r="D148" s="4">
        <f t="shared" si="5"/>
        <v>1316.1420931565772</v>
      </c>
      <c r="E148" s="3">
        <f t="shared" si="4"/>
        <v>205829.72387191889</v>
      </c>
    </row>
    <row r="149" spans="1:5">
      <c r="A149">
        <v>146</v>
      </c>
      <c r="B149" s="4">
        <f>-PPMT('With Loan'!$D$41/12,'30% Down Amortization'!$A149,360,'With Loan'!$D$40,0,0)</f>
        <v>672.92420605683083</v>
      </c>
      <c r="C149" s="4">
        <f>-IPMT('With Loan'!$D$41/12,'30% Down Amortization'!$A149,360,'With Loan'!$D$40,0,0)</f>
        <v>643.21788709974624</v>
      </c>
      <c r="D149" s="4">
        <f t="shared" si="5"/>
        <v>1316.1420931565772</v>
      </c>
      <c r="E149" s="3">
        <f t="shared" si="4"/>
        <v>205156.79966586205</v>
      </c>
    </row>
    <row r="150" spans="1:5">
      <c r="A150">
        <v>147</v>
      </c>
      <c r="B150" s="4">
        <f>-PPMT('With Loan'!$D$41/12,'30% Down Amortization'!$A150,360,'With Loan'!$D$40,0,0)</f>
        <v>675.02709420075848</v>
      </c>
      <c r="C150" s="4">
        <f>-IPMT('With Loan'!$D$41/12,'30% Down Amortization'!$A150,360,'With Loan'!$D$40,0,0)</f>
        <v>641.11499895581869</v>
      </c>
      <c r="D150" s="4">
        <f t="shared" si="5"/>
        <v>1316.1420931565772</v>
      </c>
      <c r="E150" s="3">
        <f t="shared" si="4"/>
        <v>204481.77257166131</v>
      </c>
    </row>
    <row r="151" spans="1:5">
      <c r="A151">
        <v>148</v>
      </c>
      <c r="B151" s="4">
        <f>-PPMT('With Loan'!$D$41/12,'30% Down Amortization'!$A151,360,'With Loan'!$D$40,0,0)</f>
        <v>677.13655387013569</v>
      </c>
      <c r="C151" s="4">
        <f>-IPMT('With Loan'!$D$41/12,'30% Down Amortization'!$A151,360,'With Loan'!$D$40,0,0)</f>
        <v>639.00553928644138</v>
      </c>
      <c r="D151" s="4">
        <f t="shared" si="5"/>
        <v>1316.1420931565772</v>
      </c>
      <c r="E151" s="3">
        <f t="shared" si="4"/>
        <v>203804.63601779117</v>
      </c>
    </row>
    <row r="152" spans="1:5">
      <c r="A152">
        <v>149</v>
      </c>
      <c r="B152" s="4">
        <f>-PPMT('With Loan'!$D$41/12,'30% Down Amortization'!$A152,360,'With Loan'!$D$40,0,0)</f>
        <v>679.25260560098002</v>
      </c>
      <c r="C152" s="4">
        <f>-IPMT('With Loan'!$D$41/12,'30% Down Amortization'!$A152,360,'With Loan'!$D$40,0,0)</f>
        <v>636.88948755559704</v>
      </c>
      <c r="D152" s="4">
        <f t="shared" si="5"/>
        <v>1316.1420931565772</v>
      </c>
      <c r="E152" s="3">
        <f t="shared" si="4"/>
        <v>203125.38341219019</v>
      </c>
    </row>
    <row r="153" spans="1:5">
      <c r="A153">
        <v>150</v>
      </c>
      <c r="B153" s="4">
        <f>-PPMT('With Loan'!$D$41/12,'30% Down Amortization'!$A153,360,'With Loan'!$D$40,0,0)</f>
        <v>681.37526999348302</v>
      </c>
      <c r="C153" s="4">
        <f>-IPMT('With Loan'!$D$41/12,'30% Down Amortization'!$A153,360,'With Loan'!$D$40,0,0)</f>
        <v>634.76682316309416</v>
      </c>
      <c r="D153" s="4">
        <f t="shared" si="5"/>
        <v>1316.1420931565772</v>
      </c>
      <c r="E153" s="3">
        <f t="shared" si="4"/>
        <v>202444.00814219672</v>
      </c>
    </row>
    <row r="154" spans="1:5">
      <c r="A154">
        <v>151</v>
      </c>
      <c r="B154" s="4">
        <f>-PPMT('With Loan'!$D$41/12,'30% Down Amortization'!$A154,360,'With Loan'!$D$40,0,0)</f>
        <v>683.50456771221263</v>
      </c>
      <c r="C154" s="4">
        <f>-IPMT('With Loan'!$D$41/12,'30% Down Amortization'!$A154,360,'With Loan'!$D$40,0,0)</f>
        <v>632.63752544436443</v>
      </c>
      <c r="D154" s="4">
        <f t="shared" si="5"/>
        <v>1316.1420931565772</v>
      </c>
      <c r="E154" s="3">
        <f t="shared" si="4"/>
        <v>201760.50357448449</v>
      </c>
    </row>
    <row r="155" spans="1:5">
      <c r="A155">
        <v>152</v>
      </c>
      <c r="B155" s="4">
        <f>-PPMT('With Loan'!$D$41/12,'30% Down Amortization'!$A155,360,'With Loan'!$D$40,0,0)</f>
        <v>685.64051948631322</v>
      </c>
      <c r="C155" s="4">
        <f>-IPMT('With Loan'!$D$41/12,'30% Down Amortization'!$A155,360,'With Loan'!$D$40,0,0)</f>
        <v>630.50157367026372</v>
      </c>
      <c r="D155" s="4">
        <f t="shared" si="5"/>
        <v>1316.1420931565769</v>
      </c>
      <c r="E155" s="3">
        <f t="shared" si="4"/>
        <v>201074.86305499819</v>
      </c>
    </row>
    <row r="156" spans="1:5">
      <c r="A156">
        <v>153</v>
      </c>
      <c r="B156" s="4">
        <f>-PPMT('With Loan'!$D$41/12,'30% Down Amortization'!$A156,360,'With Loan'!$D$40,0,0)</f>
        <v>687.78314610970801</v>
      </c>
      <c r="C156" s="4">
        <f>-IPMT('With Loan'!$D$41/12,'30% Down Amortization'!$A156,360,'With Loan'!$D$40,0,0)</f>
        <v>628.35894704686893</v>
      </c>
      <c r="D156" s="4">
        <f t="shared" si="5"/>
        <v>1316.1420931565769</v>
      </c>
      <c r="E156" s="3">
        <f t="shared" si="4"/>
        <v>200387.0799088885</v>
      </c>
    </row>
    <row r="157" spans="1:5">
      <c r="A157">
        <v>154</v>
      </c>
      <c r="B157" s="4">
        <f>-PPMT('With Loan'!$D$41/12,'30% Down Amortization'!$A157,360,'With Loan'!$D$40,0,0)</f>
        <v>689.93246844130078</v>
      </c>
      <c r="C157" s="4">
        <f>-IPMT('With Loan'!$D$41/12,'30% Down Amortization'!$A157,360,'With Loan'!$D$40,0,0)</f>
        <v>626.20962471527616</v>
      </c>
      <c r="D157" s="4">
        <f t="shared" si="5"/>
        <v>1316.1420931565769</v>
      </c>
      <c r="E157" s="3">
        <f t="shared" si="4"/>
        <v>199697.14744044718</v>
      </c>
    </row>
    <row r="158" spans="1:5">
      <c r="A158">
        <v>155</v>
      </c>
      <c r="B158" s="4">
        <f>-PPMT('With Loan'!$D$41/12,'30% Down Amortization'!$A158,360,'With Loan'!$D$40,0,0)</f>
        <v>692.08850740517994</v>
      </c>
      <c r="C158" s="4">
        <f>-IPMT('With Loan'!$D$41/12,'30% Down Amortization'!$A158,360,'With Loan'!$D$40,0,0)</f>
        <v>624.05358575139701</v>
      </c>
      <c r="D158" s="4">
        <f t="shared" si="5"/>
        <v>1316.1420931565769</v>
      </c>
      <c r="E158" s="3">
        <f t="shared" si="4"/>
        <v>199005.05893304199</v>
      </c>
    </row>
    <row r="159" spans="1:5">
      <c r="A159">
        <v>156</v>
      </c>
      <c r="B159" s="4">
        <f>-PPMT('With Loan'!$D$41/12,'30% Down Amortization'!$A159,360,'With Loan'!$D$40,0,0)</f>
        <v>694.25128399082109</v>
      </c>
      <c r="C159" s="4">
        <f>-IPMT('With Loan'!$D$41/12,'30% Down Amortization'!$A159,360,'With Loan'!$D$40,0,0)</f>
        <v>621.89080916575585</v>
      </c>
      <c r="D159" s="4">
        <f t="shared" si="5"/>
        <v>1316.1420931565769</v>
      </c>
      <c r="E159" s="3">
        <f t="shared" si="4"/>
        <v>198310.80764905116</v>
      </c>
    </row>
    <row r="160" spans="1:5">
      <c r="A160">
        <v>157</v>
      </c>
      <c r="B160" s="4">
        <f>-PPMT('With Loan'!$D$41/12,'30% Down Amortization'!$A160,360,'With Loan'!$D$40,0,0)</f>
        <v>696.42081925329251</v>
      </c>
      <c r="C160" s="4">
        <f>-IPMT('With Loan'!$D$41/12,'30% Down Amortization'!$A160,360,'With Loan'!$D$40,0,0)</f>
        <v>619.72127390328467</v>
      </c>
      <c r="D160" s="4">
        <f t="shared" si="5"/>
        <v>1316.1420931565772</v>
      </c>
      <c r="E160" s="3">
        <f t="shared" si="4"/>
        <v>197614.38682979788</v>
      </c>
    </row>
    <row r="161" spans="1:5">
      <c r="A161">
        <v>158</v>
      </c>
      <c r="B161" s="4">
        <f>-PPMT('With Loan'!$D$41/12,'30% Down Amortization'!$A161,360,'With Loan'!$D$40,0,0)</f>
        <v>698.59713431345904</v>
      </c>
      <c r="C161" s="4">
        <f>-IPMT('With Loan'!$D$41/12,'30% Down Amortization'!$A161,360,'With Loan'!$D$40,0,0)</f>
        <v>617.54495884311814</v>
      </c>
      <c r="D161" s="4">
        <f t="shared" si="5"/>
        <v>1316.1420931565772</v>
      </c>
      <c r="E161" s="3">
        <f t="shared" si="4"/>
        <v>196915.78969548442</v>
      </c>
    </row>
    <row r="162" spans="1:5">
      <c r="A162">
        <v>159</v>
      </c>
      <c r="B162" s="4">
        <f>-PPMT('With Loan'!$D$41/12,'30% Down Amortization'!$A162,360,'With Loan'!$D$40,0,0)</f>
        <v>700.78025035818848</v>
      </c>
      <c r="C162" s="4">
        <f>-IPMT('With Loan'!$D$41/12,'30% Down Amortization'!$A162,360,'With Loan'!$D$40,0,0)</f>
        <v>615.36184279838869</v>
      </c>
      <c r="D162" s="4">
        <f t="shared" si="5"/>
        <v>1316.1420931565772</v>
      </c>
      <c r="E162" s="3">
        <f t="shared" ref="E162:E225" si="6">E161-B162</f>
        <v>196215.00944512623</v>
      </c>
    </row>
    <row r="163" spans="1:5">
      <c r="A163">
        <v>160</v>
      </c>
      <c r="B163" s="4">
        <f>-PPMT('With Loan'!$D$41/12,'30% Down Amortization'!$A163,360,'With Loan'!$D$40,0,0)</f>
        <v>702.97018864055792</v>
      </c>
      <c r="C163" s="4">
        <f>-IPMT('With Loan'!$D$41/12,'30% Down Amortization'!$A163,360,'With Loan'!$D$40,0,0)</f>
        <v>613.17190451601925</v>
      </c>
      <c r="D163" s="4">
        <f t="shared" si="5"/>
        <v>1316.1420931565772</v>
      </c>
      <c r="E163" s="3">
        <f t="shared" si="6"/>
        <v>195512.03925648567</v>
      </c>
    </row>
    <row r="164" spans="1:5">
      <c r="A164">
        <v>161</v>
      </c>
      <c r="B164" s="4">
        <f>-PPMT('With Loan'!$D$41/12,'30% Down Amortization'!$A164,360,'With Loan'!$D$40,0,0)</f>
        <v>705.1669704800596</v>
      </c>
      <c r="C164" s="4">
        <f>-IPMT('With Loan'!$D$41/12,'30% Down Amortization'!$A164,360,'With Loan'!$D$40,0,0)</f>
        <v>610.97512267651746</v>
      </c>
      <c r="D164" s="4">
        <f t="shared" si="5"/>
        <v>1316.1420931565772</v>
      </c>
      <c r="E164" s="3">
        <f t="shared" si="6"/>
        <v>194806.87228600562</v>
      </c>
    </row>
    <row r="165" spans="1:5">
      <c r="A165">
        <v>162</v>
      </c>
      <c r="B165" s="4">
        <f>-PPMT('With Loan'!$D$41/12,'30% Down Amortization'!$A165,360,'With Loan'!$D$40,0,0)</f>
        <v>707.37061726280979</v>
      </c>
      <c r="C165" s="4">
        <f>-IPMT('With Loan'!$D$41/12,'30% Down Amortization'!$A165,360,'With Loan'!$D$40,0,0)</f>
        <v>608.77147589376727</v>
      </c>
      <c r="D165" s="4">
        <f t="shared" si="5"/>
        <v>1316.1420931565772</v>
      </c>
      <c r="E165" s="3">
        <f t="shared" si="6"/>
        <v>194099.5016687428</v>
      </c>
    </row>
    <row r="166" spans="1:5">
      <c r="A166">
        <v>163</v>
      </c>
      <c r="B166" s="4">
        <f>-PPMT('With Loan'!$D$41/12,'30% Down Amortization'!$A166,360,'With Loan'!$D$40,0,0)</f>
        <v>709.58115044175611</v>
      </c>
      <c r="C166" s="4">
        <f>-IPMT('With Loan'!$D$41/12,'30% Down Amortization'!$A166,360,'With Loan'!$D$40,0,0)</f>
        <v>606.56094271482107</v>
      </c>
      <c r="D166" s="4">
        <f t="shared" si="5"/>
        <v>1316.1420931565772</v>
      </c>
      <c r="E166" s="3">
        <f t="shared" si="6"/>
        <v>193389.92051830105</v>
      </c>
    </row>
    <row r="167" spans="1:5">
      <c r="A167">
        <v>164</v>
      </c>
      <c r="B167" s="4">
        <f>-PPMT('With Loan'!$D$41/12,'30% Down Amortization'!$A167,360,'With Loan'!$D$40,0,0)</f>
        <v>711.79859153688653</v>
      </c>
      <c r="C167" s="4">
        <f>-IPMT('With Loan'!$D$41/12,'30% Down Amortization'!$A167,360,'With Loan'!$D$40,0,0)</f>
        <v>604.34350161969053</v>
      </c>
      <c r="D167" s="4">
        <f t="shared" si="5"/>
        <v>1316.1420931565772</v>
      </c>
      <c r="E167" s="3">
        <f t="shared" si="6"/>
        <v>192678.12192676417</v>
      </c>
    </row>
    <row r="168" spans="1:5">
      <c r="A168">
        <v>165</v>
      </c>
      <c r="B168" s="4">
        <f>-PPMT('With Loan'!$D$41/12,'30% Down Amortization'!$A168,360,'With Loan'!$D$40,0,0)</f>
        <v>714.02296213543934</v>
      </c>
      <c r="C168" s="4">
        <f>-IPMT('With Loan'!$D$41/12,'30% Down Amortization'!$A168,360,'With Loan'!$D$40,0,0)</f>
        <v>602.11913102113783</v>
      </c>
      <c r="D168" s="4">
        <f t="shared" si="5"/>
        <v>1316.1420931565772</v>
      </c>
      <c r="E168" s="3">
        <f t="shared" si="6"/>
        <v>191964.09896462873</v>
      </c>
    </row>
    <row r="169" spans="1:5">
      <c r="A169">
        <v>166</v>
      </c>
      <c r="B169" s="4">
        <f>-PPMT('With Loan'!$D$41/12,'30% Down Amortization'!$A169,360,'With Loan'!$D$40,0,0)</f>
        <v>716.25428389211254</v>
      </c>
      <c r="C169" s="4">
        <f>-IPMT('With Loan'!$D$41/12,'30% Down Amortization'!$A169,360,'With Loan'!$D$40,0,0)</f>
        <v>599.88780926446441</v>
      </c>
      <c r="D169" s="4">
        <f t="shared" si="5"/>
        <v>1316.1420931565769</v>
      </c>
      <c r="E169" s="3">
        <f t="shared" si="6"/>
        <v>191247.84468073663</v>
      </c>
    </row>
    <row r="170" spans="1:5">
      <c r="A170">
        <v>167</v>
      </c>
      <c r="B170" s="4">
        <f>-PPMT('With Loan'!$D$41/12,'30% Down Amortization'!$A170,360,'With Loan'!$D$40,0,0)</f>
        <v>718.49257852927542</v>
      </c>
      <c r="C170" s="4">
        <f>-IPMT('With Loan'!$D$41/12,'30% Down Amortization'!$A170,360,'With Loan'!$D$40,0,0)</f>
        <v>597.64951462730176</v>
      </c>
      <c r="D170" s="4">
        <f t="shared" si="5"/>
        <v>1316.1420931565772</v>
      </c>
      <c r="E170" s="3">
        <f t="shared" si="6"/>
        <v>190529.35210220734</v>
      </c>
    </row>
    <row r="171" spans="1:5">
      <c r="A171">
        <v>168</v>
      </c>
      <c r="B171" s="4">
        <f>-PPMT('With Loan'!$D$41/12,'30% Down Amortization'!$A171,360,'With Loan'!$D$40,0,0)</f>
        <v>720.73786783717946</v>
      </c>
      <c r="C171" s="4">
        <f>-IPMT('With Loan'!$D$41/12,'30% Down Amortization'!$A171,360,'With Loan'!$D$40,0,0)</f>
        <v>595.4042253193976</v>
      </c>
      <c r="D171" s="4">
        <f t="shared" si="5"/>
        <v>1316.1420931565772</v>
      </c>
      <c r="E171" s="3">
        <f t="shared" si="6"/>
        <v>189808.61423437015</v>
      </c>
    </row>
    <row r="172" spans="1:5">
      <c r="A172">
        <v>169</v>
      </c>
      <c r="B172" s="4">
        <f>-PPMT('With Loan'!$D$41/12,'30% Down Amortization'!$A172,360,'With Loan'!$D$40,0,0)</f>
        <v>722.99017367417071</v>
      </c>
      <c r="C172" s="4">
        <f>-IPMT('With Loan'!$D$41/12,'30% Down Amortization'!$A172,360,'With Loan'!$D$40,0,0)</f>
        <v>593.15191948240636</v>
      </c>
      <c r="D172" s="4">
        <f t="shared" si="5"/>
        <v>1316.1420931565772</v>
      </c>
      <c r="E172" s="3">
        <f t="shared" si="6"/>
        <v>189085.62406069599</v>
      </c>
    </row>
    <row r="173" spans="1:5">
      <c r="A173">
        <v>170</v>
      </c>
      <c r="B173" s="4">
        <f>-PPMT('With Loan'!$D$41/12,'30% Down Amortization'!$A173,360,'With Loan'!$D$40,0,0)</f>
        <v>725.24951796690232</v>
      </c>
      <c r="C173" s="4">
        <f>-IPMT('With Loan'!$D$41/12,'30% Down Amortization'!$A173,360,'With Loan'!$D$40,0,0)</f>
        <v>590.89257518967452</v>
      </c>
      <c r="D173" s="4">
        <f t="shared" si="5"/>
        <v>1316.1420931565767</v>
      </c>
      <c r="E173" s="3">
        <f t="shared" si="6"/>
        <v>188360.37454272909</v>
      </c>
    </row>
    <row r="174" spans="1:5">
      <c r="A174">
        <v>171</v>
      </c>
      <c r="B174" s="4">
        <f>-PPMT('With Loan'!$D$41/12,'30% Down Amortization'!$A174,360,'With Loan'!$D$40,0,0)</f>
        <v>727.51592271054903</v>
      </c>
      <c r="C174" s="4">
        <f>-IPMT('With Loan'!$D$41/12,'30% Down Amortization'!$A174,360,'With Loan'!$D$40,0,0)</f>
        <v>588.62617044602814</v>
      </c>
      <c r="D174" s="4">
        <f t="shared" si="5"/>
        <v>1316.1420931565772</v>
      </c>
      <c r="E174" s="3">
        <f t="shared" si="6"/>
        <v>187632.85862001852</v>
      </c>
    </row>
    <row r="175" spans="1:5">
      <c r="A175">
        <v>172</v>
      </c>
      <c r="B175" s="4">
        <f>-PPMT('With Loan'!$D$41/12,'30% Down Amortization'!$A175,360,'With Loan'!$D$40,0,0)</f>
        <v>729.78940996901952</v>
      </c>
      <c r="C175" s="4">
        <f>-IPMT('With Loan'!$D$41/12,'30% Down Amortization'!$A175,360,'With Loan'!$D$40,0,0)</f>
        <v>586.35268318755766</v>
      </c>
      <c r="D175" s="4">
        <f t="shared" si="5"/>
        <v>1316.1420931565772</v>
      </c>
      <c r="E175" s="3">
        <f t="shared" si="6"/>
        <v>186903.06921004949</v>
      </c>
    </row>
    <row r="176" spans="1:5">
      <c r="A176">
        <v>173</v>
      </c>
      <c r="B176" s="4">
        <f>-PPMT('With Loan'!$D$41/12,'30% Down Amortization'!$A176,360,'With Loan'!$D$40,0,0)</f>
        <v>732.07000187517258</v>
      </c>
      <c r="C176" s="4">
        <f>-IPMT('With Loan'!$D$41/12,'30% Down Amortization'!$A176,360,'With Loan'!$D$40,0,0)</f>
        <v>584.07209128140448</v>
      </c>
      <c r="D176" s="4">
        <f t="shared" si="5"/>
        <v>1316.1420931565772</v>
      </c>
      <c r="E176" s="3">
        <f t="shared" si="6"/>
        <v>186170.99920817433</v>
      </c>
    </row>
    <row r="177" spans="1:5">
      <c r="A177">
        <v>174</v>
      </c>
      <c r="B177" s="4">
        <f>-PPMT('With Loan'!$D$41/12,'30% Down Amortization'!$A177,360,'With Loan'!$D$40,0,0)</f>
        <v>734.35772063103263</v>
      </c>
      <c r="C177" s="4">
        <f>-IPMT('With Loan'!$D$41/12,'30% Down Amortization'!$A177,360,'With Loan'!$D$40,0,0)</f>
        <v>581.78437252554465</v>
      </c>
      <c r="D177" s="4">
        <f t="shared" si="5"/>
        <v>1316.1420931565772</v>
      </c>
      <c r="E177" s="3">
        <f t="shared" si="6"/>
        <v>185436.6414875433</v>
      </c>
    </row>
    <row r="178" spans="1:5">
      <c r="A178">
        <v>175</v>
      </c>
      <c r="B178" s="4">
        <f>-PPMT('With Loan'!$D$41/12,'30% Down Amortization'!$A178,360,'With Loan'!$D$40,0,0)</f>
        <v>736.65258850800456</v>
      </c>
      <c r="C178" s="4">
        <f>-IPMT('With Loan'!$D$41/12,'30% Down Amortization'!$A178,360,'With Loan'!$D$40,0,0)</f>
        <v>579.48950464857251</v>
      </c>
      <c r="D178" s="4">
        <f t="shared" si="5"/>
        <v>1316.1420931565772</v>
      </c>
      <c r="E178" s="3">
        <f t="shared" si="6"/>
        <v>184699.98889903529</v>
      </c>
    </row>
    <row r="179" spans="1:5">
      <c r="A179">
        <v>176</v>
      </c>
      <c r="B179" s="4">
        <f>-PPMT('With Loan'!$D$41/12,'30% Down Amortization'!$A179,360,'With Loan'!$D$40,0,0)</f>
        <v>738.95462784709196</v>
      </c>
      <c r="C179" s="4">
        <f>-IPMT('With Loan'!$D$41/12,'30% Down Amortization'!$A179,360,'With Loan'!$D$40,0,0)</f>
        <v>577.18746530948511</v>
      </c>
      <c r="D179" s="4">
        <f t="shared" si="5"/>
        <v>1316.1420931565772</v>
      </c>
      <c r="E179" s="3">
        <f t="shared" si="6"/>
        <v>183961.0342711882</v>
      </c>
    </row>
    <row r="180" spans="1:5">
      <c r="A180">
        <v>177</v>
      </c>
      <c r="B180" s="4">
        <f>-PPMT('With Loan'!$D$41/12,'30% Down Amortization'!$A180,360,'With Loan'!$D$40,0,0)</f>
        <v>741.26386105911422</v>
      </c>
      <c r="C180" s="4">
        <f>-IPMT('With Loan'!$D$41/12,'30% Down Amortization'!$A180,360,'With Loan'!$D$40,0,0)</f>
        <v>574.87823209746284</v>
      </c>
      <c r="D180" s="4">
        <f t="shared" si="5"/>
        <v>1316.1420931565772</v>
      </c>
      <c r="E180" s="3">
        <f t="shared" si="6"/>
        <v>183219.77041012907</v>
      </c>
    </row>
    <row r="181" spans="1:5">
      <c r="A181">
        <v>178</v>
      </c>
      <c r="B181" s="4">
        <f>-PPMT('With Loan'!$D$41/12,'30% Down Amortization'!$A181,360,'With Loan'!$D$40,0,0)</f>
        <v>743.58031062492398</v>
      </c>
      <c r="C181" s="4">
        <f>-IPMT('With Loan'!$D$41/12,'30% Down Amortization'!$A181,360,'With Loan'!$D$40,0,0)</f>
        <v>572.56178253165308</v>
      </c>
      <c r="D181" s="4">
        <f t="shared" si="5"/>
        <v>1316.1420931565772</v>
      </c>
      <c r="E181" s="3">
        <f t="shared" si="6"/>
        <v>182476.19009950414</v>
      </c>
    </row>
    <row r="182" spans="1:5">
      <c r="A182">
        <v>179</v>
      </c>
      <c r="B182" s="4">
        <f>-PPMT('With Loan'!$D$41/12,'30% Down Amortization'!$A182,360,'With Loan'!$D$40,0,0)</f>
        <v>745.90399909562677</v>
      </c>
      <c r="C182" s="4">
        <f>-IPMT('With Loan'!$D$41/12,'30% Down Amortization'!$A182,360,'With Loan'!$D$40,0,0)</f>
        <v>570.23809406095029</v>
      </c>
      <c r="D182" s="4">
        <f t="shared" si="5"/>
        <v>1316.1420931565772</v>
      </c>
      <c r="E182" s="3">
        <f t="shared" si="6"/>
        <v>181730.2861004085</v>
      </c>
    </row>
    <row r="183" spans="1:5">
      <c r="A183">
        <v>180</v>
      </c>
      <c r="B183" s="4">
        <f>-PPMT('With Loan'!$D$41/12,'30% Down Amortization'!$A183,360,'With Loan'!$D$40,0,0)</f>
        <v>748.23494909280066</v>
      </c>
      <c r="C183" s="4">
        <f>-IPMT('With Loan'!$D$41/12,'30% Down Amortization'!$A183,360,'With Loan'!$D$40,0,0)</f>
        <v>567.9071440637764</v>
      </c>
      <c r="D183" s="4">
        <f t="shared" si="5"/>
        <v>1316.1420931565772</v>
      </c>
      <c r="E183" s="3">
        <f t="shared" si="6"/>
        <v>180982.05115131571</v>
      </c>
    </row>
    <row r="184" spans="1:5">
      <c r="A184">
        <v>181</v>
      </c>
      <c r="B184" s="4">
        <f>-PPMT('With Loan'!$D$41/12,'30% Down Amortization'!$A184,360,'With Loan'!$D$40,0,0)</f>
        <v>750.57318330871556</v>
      </c>
      <c r="C184" s="4">
        <f>-IPMT('With Loan'!$D$41/12,'30% Down Amortization'!$A184,360,'With Loan'!$D$40,0,0)</f>
        <v>565.56890984786128</v>
      </c>
      <c r="D184" s="4">
        <f t="shared" si="5"/>
        <v>1316.1420931565767</v>
      </c>
      <c r="E184" s="3">
        <f t="shared" si="6"/>
        <v>180231.47796800701</v>
      </c>
    </row>
    <row r="185" spans="1:5">
      <c r="A185">
        <v>182</v>
      </c>
      <c r="B185" s="4">
        <f>-PPMT('With Loan'!$D$41/12,'30% Down Amortization'!$A185,360,'With Loan'!$D$40,0,0)</f>
        <v>752.91872450655535</v>
      </c>
      <c r="C185" s="4">
        <f>-IPMT('With Loan'!$D$41/12,'30% Down Amortization'!$A185,360,'With Loan'!$D$40,0,0)</f>
        <v>563.22336865002171</v>
      </c>
      <c r="D185" s="4">
        <f t="shared" si="5"/>
        <v>1316.1420931565772</v>
      </c>
      <c r="E185" s="3">
        <f t="shared" si="6"/>
        <v>179478.55924350044</v>
      </c>
    </row>
    <row r="186" spans="1:5">
      <c r="A186">
        <v>183</v>
      </c>
      <c r="B186" s="4">
        <f>-PPMT('With Loan'!$D$41/12,'30% Down Amortization'!$A186,360,'With Loan'!$D$40,0,0)</f>
        <v>755.27159552063836</v>
      </c>
      <c r="C186" s="4">
        <f>-IPMT('With Loan'!$D$41/12,'30% Down Amortization'!$A186,360,'With Loan'!$D$40,0,0)</f>
        <v>560.8704976359387</v>
      </c>
      <c r="D186" s="4">
        <f t="shared" si="5"/>
        <v>1316.1420931565772</v>
      </c>
      <c r="E186" s="3">
        <f t="shared" si="6"/>
        <v>178723.2876479798</v>
      </c>
    </row>
    <row r="187" spans="1:5">
      <c r="A187">
        <v>184</v>
      </c>
      <c r="B187" s="4">
        <f>-PPMT('With Loan'!$D$41/12,'30% Down Amortization'!$A187,360,'With Loan'!$D$40,0,0)</f>
        <v>757.63181925664037</v>
      </c>
      <c r="C187" s="4">
        <f>-IPMT('With Loan'!$D$41/12,'30% Down Amortization'!$A187,360,'With Loan'!$D$40,0,0)</f>
        <v>558.51027389993669</v>
      </c>
      <c r="D187" s="4">
        <f t="shared" si="5"/>
        <v>1316.1420931565772</v>
      </c>
      <c r="E187" s="3">
        <f t="shared" si="6"/>
        <v>177965.65582872316</v>
      </c>
    </row>
    <row r="188" spans="1:5">
      <c r="A188">
        <v>185</v>
      </c>
      <c r="B188" s="4">
        <f>-PPMT('With Loan'!$D$41/12,'30% Down Amortization'!$A188,360,'With Loan'!$D$40,0,0)</f>
        <v>759.99941869181737</v>
      </c>
      <c r="C188" s="4">
        <f>-IPMT('With Loan'!$D$41/12,'30% Down Amortization'!$A188,360,'With Loan'!$D$40,0,0)</f>
        <v>556.14267446475981</v>
      </c>
      <c r="D188" s="4">
        <f t="shared" si="5"/>
        <v>1316.1420931565772</v>
      </c>
      <c r="E188" s="3">
        <f t="shared" si="6"/>
        <v>177205.65641003134</v>
      </c>
    </row>
    <row r="189" spans="1:5">
      <c r="A189">
        <v>186</v>
      </c>
      <c r="B189" s="4">
        <f>-PPMT('With Loan'!$D$41/12,'30% Down Amortization'!$A189,360,'With Loan'!$D$40,0,0)</f>
        <v>762.37441687522937</v>
      </c>
      <c r="C189" s="4">
        <f>-IPMT('With Loan'!$D$41/12,'30% Down Amortization'!$A189,360,'With Loan'!$D$40,0,0)</f>
        <v>553.76767628134769</v>
      </c>
      <c r="D189" s="4">
        <f t="shared" si="5"/>
        <v>1316.1420931565772</v>
      </c>
      <c r="E189" s="3">
        <f t="shared" si="6"/>
        <v>176443.28199315612</v>
      </c>
    </row>
    <row r="190" spans="1:5">
      <c r="A190">
        <v>187</v>
      </c>
      <c r="B190" s="4">
        <f>-PPMT('With Loan'!$D$41/12,'30% Down Amortization'!$A190,360,'With Loan'!$D$40,0,0)</f>
        <v>764.75683692796429</v>
      </c>
      <c r="C190" s="4">
        <f>-IPMT('With Loan'!$D$41/12,'30% Down Amortization'!$A190,360,'With Loan'!$D$40,0,0)</f>
        <v>551.38525622861277</v>
      </c>
      <c r="D190" s="4">
        <f t="shared" si="5"/>
        <v>1316.1420931565772</v>
      </c>
      <c r="E190" s="3">
        <f t="shared" si="6"/>
        <v>175678.52515622816</v>
      </c>
    </row>
    <row r="191" spans="1:5">
      <c r="A191">
        <v>188</v>
      </c>
      <c r="B191" s="4">
        <f>-PPMT('With Loan'!$D$41/12,'30% Down Amortization'!$A191,360,'With Loan'!$D$40,0,0)</f>
        <v>767.14670204336414</v>
      </c>
      <c r="C191" s="4">
        <f>-IPMT('With Loan'!$D$41/12,'30% Down Amortization'!$A191,360,'With Loan'!$D$40,0,0)</f>
        <v>548.99539111321269</v>
      </c>
      <c r="D191" s="4">
        <f t="shared" si="5"/>
        <v>1316.1420931565767</v>
      </c>
      <c r="E191" s="3">
        <f t="shared" si="6"/>
        <v>174911.3784541848</v>
      </c>
    </row>
    <row r="192" spans="1:5">
      <c r="A192">
        <v>189</v>
      </c>
      <c r="B192" s="4">
        <f>-PPMT('With Loan'!$D$41/12,'30% Down Amortization'!$A192,360,'With Loan'!$D$40,0,0)</f>
        <v>769.54403548724974</v>
      </c>
      <c r="C192" s="4">
        <f>-IPMT('With Loan'!$D$41/12,'30% Down Amortization'!$A192,360,'With Loan'!$D$40,0,0)</f>
        <v>546.59805766932732</v>
      </c>
      <c r="D192" s="4">
        <f t="shared" si="5"/>
        <v>1316.1420931565772</v>
      </c>
      <c r="E192" s="3">
        <f t="shared" si="6"/>
        <v>174141.83441869754</v>
      </c>
    </row>
    <row r="193" spans="1:5">
      <c r="A193">
        <v>190</v>
      </c>
      <c r="B193" s="4">
        <f>-PPMT('With Loan'!$D$41/12,'30% Down Amortization'!$A193,360,'With Loan'!$D$40,0,0)</f>
        <v>771.94886059814746</v>
      </c>
      <c r="C193" s="4">
        <f>-IPMT('With Loan'!$D$41/12,'30% Down Amortization'!$A193,360,'With Loan'!$D$40,0,0)</f>
        <v>544.19323255842971</v>
      </c>
      <c r="D193" s="4">
        <f t="shared" si="5"/>
        <v>1316.1420931565772</v>
      </c>
      <c r="E193" s="3">
        <f t="shared" si="6"/>
        <v>173369.8855580994</v>
      </c>
    </row>
    <row r="194" spans="1:5">
      <c r="A194">
        <v>191</v>
      </c>
      <c r="B194" s="4">
        <f>-PPMT('With Loan'!$D$41/12,'30% Down Amortization'!$A194,360,'With Loan'!$D$40,0,0)</f>
        <v>774.36120078751662</v>
      </c>
      <c r="C194" s="4">
        <f>-IPMT('With Loan'!$D$41/12,'30% Down Amortization'!$A194,360,'With Loan'!$D$40,0,0)</f>
        <v>541.78089236906044</v>
      </c>
      <c r="D194" s="4">
        <f t="shared" si="5"/>
        <v>1316.1420931565772</v>
      </c>
      <c r="E194" s="3">
        <f t="shared" si="6"/>
        <v>172595.52435731189</v>
      </c>
    </row>
    <row r="195" spans="1:5">
      <c r="A195">
        <v>192</v>
      </c>
      <c r="B195" s="4">
        <f>-PPMT('With Loan'!$D$41/12,'30% Down Amortization'!$A195,360,'With Loan'!$D$40,0,0)</f>
        <v>776.78107953997767</v>
      </c>
      <c r="C195" s="4">
        <f>-IPMT('With Loan'!$D$41/12,'30% Down Amortization'!$A195,360,'With Loan'!$D$40,0,0)</f>
        <v>539.36101361659939</v>
      </c>
      <c r="D195" s="4">
        <f t="shared" si="5"/>
        <v>1316.1420931565772</v>
      </c>
      <c r="E195" s="3">
        <f t="shared" si="6"/>
        <v>171818.74327777192</v>
      </c>
    </row>
    <row r="196" spans="1:5">
      <c r="A196">
        <v>193</v>
      </c>
      <c r="B196" s="4">
        <f>-PPMT('With Loan'!$D$41/12,'30% Down Amortization'!$A196,360,'With Loan'!$D$40,0,0)</f>
        <v>779.20852041353999</v>
      </c>
      <c r="C196" s="4">
        <f>-IPMT('With Loan'!$D$41/12,'30% Down Amortization'!$A196,360,'With Loan'!$D$40,0,0)</f>
        <v>536.93357274303708</v>
      </c>
      <c r="D196" s="4">
        <f t="shared" si="5"/>
        <v>1316.1420931565772</v>
      </c>
      <c r="E196" s="3">
        <f t="shared" si="6"/>
        <v>171039.53475735837</v>
      </c>
    </row>
    <row r="197" spans="1:5">
      <c r="A197">
        <v>194</v>
      </c>
      <c r="B197" s="4">
        <f>-PPMT('With Loan'!$D$41/12,'30% Down Amortization'!$A197,360,'With Loan'!$D$40,0,0)</f>
        <v>781.64354703983236</v>
      </c>
      <c r="C197" s="4">
        <f>-IPMT('With Loan'!$D$41/12,'30% Down Amortization'!$A197,360,'With Loan'!$D$40,0,0)</f>
        <v>534.49854611674471</v>
      </c>
      <c r="D197" s="4">
        <f t="shared" ref="D197:D260" si="7">B197+C197</f>
        <v>1316.1420931565772</v>
      </c>
      <c r="E197" s="3">
        <f t="shared" si="6"/>
        <v>170257.89121031854</v>
      </c>
    </row>
    <row r="198" spans="1:5">
      <c r="A198">
        <v>195</v>
      </c>
      <c r="B198" s="4">
        <f>-PPMT('With Loan'!$D$41/12,'30% Down Amortization'!$A198,360,'With Loan'!$D$40,0,0)</f>
        <v>784.08618312433191</v>
      </c>
      <c r="C198" s="4">
        <f>-IPMT('With Loan'!$D$41/12,'30% Down Amortization'!$A198,360,'With Loan'!$D$40,0,0)</f>
        <v>532.05591003224515</v>
      </c>
      <c r="D198" s="4">
        <f t="shared" si="7"/>
        <v>1316.1420931565772</v>
      </c>
      <c r="E198" s="3">
        <f t="shared" si="6"/>
        <v>169473.8050271942</v>
      </c>
    </row>
    <row r="199" spans="1:5">
      <c r="A199">
        <v>196</v>
      </c>
      <c r="B199" s="4">
        <f>-PPMT('With Loan'!$D$41/12,'30% Down Amortization'!$A199,360,'With Loan'!$D$40,0,0)</f>
        <v>786.53645244659526</v>
      </c>
      <c r="C199" s="4">
        <f>-IPMT('With Loan'!$D$41/12,'30% Down Amortization'!$A199,360,'With Loan'!$D$40,0,0)</f>
        <v>529.60564070998169</v>
      </c>
      <c r="D199" s="4">
        <f t="shared" si="7"/>
        <v>1316.1420931565769</v>
      </c>
      <c r="E199" s="3">
        <f t="shared" si="6"/>
        <v>168687.26857474761</v>
      </c>
    </row>
    <row r="200" spans="1:5">
      <c r="A200">
        <v>197</v>
      </c>
      <c r="B200" s="4">
        <f>-PPMT('With Loan'!$D$41/12,'30% Down Amortization'!$A200,360,'With Loan'!$D$40,0,0)</f>
        <v>788.99437886049088</v>
      </c>
      <c r="C200" s="4">
        <f>-IPMT('With Loan'!$D$41/12,'30% Down Amortization'!$A200,360,'With Loan'!$D$40,0,0)</f>
        <v>527.14771429608606</v>
      </c>
      <c r="D200" s="4">
        <f t="shared" si="7"/>
        <v>1316.1420931565769</v>
      </c>
      <c r="E200" s="3">
        <f t="shared" si="6"/>
        <v>167898.27419588712</v>
      </c>
    </row>
    <row r="201" spans="1:5">
      <c r="A201">
        <v>198</v>
      </c>
      <c r="B201" s="4">
        <f>-PPMT('With Loan'!$D$41/12,'30% Down Amortization'!$A201,360,'With Loan'!$D$40,0,0)</f>
        <v>791.45998629443</v>
      </c>
      <c r="C201" s="4">
        <f>-IPMT('With Loan'!$D$41/12,'30% Down Amortization'!$A201,360,'With Loan'!$D$40,0,0)</f>
        <v>524.68210686214707</v>
      </c>
      <c r="D201" s="4">
        <f t="shared" si="7"/>
        <v>1316.1420931565772</v>
      </c>
      <c r="E201" s="3">
        <f t="shared" si="6"/>
        <v>167106.8142095927</v>
      </c>
    </row>
    <row r="202" spans="1:5">
      <c r="A202">
        <v>199</v>
      </c>
      <c r="B202" s="4">
        <f>-PPMT('With Loan'!$D$41/12,'30% Down Amortization'!$A202,360,'With Loan'!$D$40,0,0)</f>
        <v>793.93329875160009</v>
      </c>
      <c r="C202" s="4">
        <f>-IPMT('With Loan'!$D$41/12,'30% Down Amortization'!$A202,360,'With Loan'!$D$40,0,0)</f>
        <v>522.20879440497697</v>
      </c>
      <c r="D202" s="4">
        <f t="shared" si="7"/>
        <v>1316.1420931565772</v>
      </c>
      <c r="E202" s="3">
        <f t="shared" si="6"/>
        <v>166312.88091084111</v>
      </c>
    </row>
    <row r="203" spans="1:5">
      <c r="A203">
        <v>200</v>
      </c>
      <c r="B203" s="4">
        <f>-PPMT('With Loan'!$D$41/12,'30% Down Amortization'!$A203,360,'With Loan'!$D$40,0,0)</f>
        <v>796.41434031019878</v>
      </c>
      <c r="C203" s="4">
        <f>-IPMT('With Loan'!$D$41/12,'30% Down Amortization'!$A203,360,'With Loan'!$D$40,0,0)</f>
        <v>519.72775284637828</v>
      </c>
      <c r="D203" s="4">
        <f t="shared" si="7"/>
        <v>1316.1420931565772</v>
      </c>
      <c r="E203" s="3">
        <f t="shared" si="6"/>
        <v>165516.4665705309</v>
      </c>
    </row>
    <row r="204" spans="1:5">
      <c r="A204">
        <v>201</v>
      </c>
      <c r="B204" s="4">
        <f>-PPMT('With Loan'!$D$41/12,'30% Down Amortization'!$A204,360,'With Loan'!$D$40,0,0)</f>
        <v>798.90313512366822</v>
      </c>
      <c r="C204" s="4">
        <f>-IPMT('With Loan'!$D$41/12,'30% Down Amortization'!$A204,360,'With Loan'!$D$40,0,0)</f>
        <v>517.23895803290884</v>
      </c>
      <c r="D204" s="4">
        <f t="shared" si="7"/>
        <v>1316.1420931565772</v>
      </c>
      <c r="E204" s="3">
        <f t="shared" si="6"/>
        <v>164717.56343540724</v>
      </c>
    </row>
    <row r="205" spans="1:5">
      <c r="A205">
        <v>202</v>
      </c>
      <c r="B205" s="4">
        <f>-PPMT('With Loan'!$D$41/12,'30% Down Amortization'!$A205,360,'With Loan'!$D$40,0,0)</f>
        <v>801.39970742092976</v>
      </c>
      <c r="C205" s="4">
        <f>-IPMT('With Loan'!$D$41/12,'30% Down Amortization'!$A205,360,'With Loan'!$D$40,0,0)</f>
        <v>514.7423857356473</v>
      </c>
      <c r="D205" s="4">
        <f t="shared" si="7"/>
        <v>1316.1420931565772</v>
      </c>
      <c r="E205" s="3">
        <f t="shared" si="6"/>
        <v>163916.16372798631</v>
      </c>
    </row>
    <row r="206" spans="1:5">
      <c r="A206">
        <v>203</v>
      </c>
      <c r="B206" s="4">
        <f>-PPMT('With Loan'!$D$41/12,'30% Down Amortization'!$A206,360,'With Loan'!$D$40,0,0)</f>
        <v>803.90408150662017</v>
      </c>
      <c r="C206" s="4">
        <f>-IPMT('With Loan'!$D$41/12,'30% Down Amortization'!$A206,360,'With Loan'!$D$40,0,0)</f>
        <v>512.23801164995689</v>
      </c>
      <c r="D206" s="4">
        <f t="shared" si="7"/>
        <v>1316.1420931565772</v>
      </c>
      <c r="E206" s="3">
        <f t="shared" si="6"/>
        <v>163112.25964647968</v>
      </c>
    </row>
    <row r="207" spans="1:5">
      <c r="A207">
        <v>204</v>
      </c>
      <c r="B207" s="4">
        <f>-PPMT('With Loan'!$D$41/12,'30% Down Amortization'!$A207,360,'With Loan'!$D$40,0,0)</f>
        <v>806.41628176132826</v>
      </c>
      <c r="C207" s="4">
        <f>-IPMT('With Loan'!$D$41/12,'30% Down Amortization'!$A207,360,'With Loan'!$D$40,0,0)</f>
        <v>509.7258113952488</v>
      </c>
      <c r="D207" s="4">
        <f t="shared" si="7"/>
        <v>1316.1420931565772</v>
      </c>
      <c r="E207" s="3">
        <f t="shared" si="6"/>
        <v>162305.84336471834</v>
      </c>
    </row>
    <row r="208" spans="1:5">
      <c r="A208">
        <v>205</v>
      </c>
      <c r="B208" s="4">
        <f>-PPMT('With Loan'!$D$41/12,'30% Down Amortization'!$A208,360,'With Loan'!$D$40,0,0)</f>
        <v>808.93633264183245</v>
      </c>
      <c r="C208" s="4">
        <f>-IPMT('With Loan'!$D$41/12,'30% Down Amortization'!$A208,360,'With Loan'!$D$40,0,0)</f>
        <v>507.20576051474461</v>
      </c>
      <c r="D208" s="4">
        <f t="shared" si="7"/>
        <v>1316.1420931565772</v>
      </c>
      <c r="E208" s="3">
        <f t="shared" si="6"/>
        <v>161496.9070320765</v>
      </c>
    </row>
    <row r="209" spans="1:5">
      <c r="A209">
        <v>206</v>
      </c>
      <c r="B209" s="4">
        <f>-PPMT('With Loan'!$D$41/12,'30% Down Amortization'!$A209,360,'With Loan'!$D$40,0,0)</f>
        <v>811.46425868133826</v>
      </c>
      <c r="C209" s="4">
        <f>-IPMT('With Loan'!$D$41/12,'30% Down Amortization'!$A209,360,'With Loan'!$D$40,0,0)</f>
        <v>504.67783447523891</v>
      </c>
      <c r="D209" s="4">
        <f t="shared" si="7"/>
        <v>1316.1420931565772</v>
      </c>
      <c r="E209" s="3">
        <f t="shared" si="6"/>
        <v>160685.44277339516</v>
      </c>
    </row>
    <row r="210" spans="1:5">
      <c r="A210">
        <v>207</v>
      </c>
      <c r="B210" s="4">
        <f>-PPMT('With Loan'!$D$41/12,'30% Down Amortization'!$A210,360,'With Loan'!$D$40,0,0)</f>
        <v>814.00008448971744</v>
      </c>
      <c r="C210" s="4">
        <f>-IPMT('With Loan'!$D$41/12,'30% Down Amortization'!$A210,360,'With Loan'!$D$40,0,0)</f>
        <v>502.14200866685974</v>
      </c>
      <c r="D210" s="4">
        <f t="shared" si="7"/>
        <v>1316.1420931565772</v>
      </c>
      <c r="E210" s="3">
        <f t="shared" si="6"/>
        <v>159871.44268890543</v>
      </c>
    </row>
    <row r="211" spans="1:5">
      <c r="A211">
        <v>208</v>
      </c>
      <c r="B211" s="4">
        <f>-PPMT('With Loan'!$D$41/12,'30% Down Amortization'!$A211,360,'With Loan'!$D$40,0,0)</f>
        <v>816.54383475374777</v>
      </c>
      <c r="C211" s="4">
        <f>-IPMT('With Loan'!$D$41/12,'30% Down Amortization'!$A211,360,'With Loan'!$D$40,0,0)</f>
        <v>499.5982584028294</v>
      </c>
      <c r="D211" s="4">
        <f t="shared" si="7"/>
        <v>1316.1420931565772</v>
      </c>
      <c r="E211" s="3">
        <f t="shared" si="6"/>
        <v>159054.89885415169</v>
      </c>
    </row>
    <row r="212" spans="1:5">
      <c r="A212">
        <v>209</v>
      </c>
      <c r="B212" s="4">
        <f>-PPMT('With Loan'!$D$41/12,'30% Down Amortization'!$A212,360,'With Loan'!$D$40,0,0)</f>
        <v>819.09553423735326</v>
      </c>
      <c r="C212" s="4">
        <f>-IPMT('With Loan'!$D$41/12,'30% Down Amortization'!$A212,360,'With Loan'!$D$40,0,0)</f>
        <v>497.04655891922391</v>
      </c>
      <c r="D212" s="4">
        <f t="shared" si="7"/>
        <v>1316.1420931565772</v>
      </c>
      <c r="E212" s="3">
        <f t="shared" si="6"/>
        <v>158235.80331991432</v>
      </c>
    </row>
    <row r="213" spans="1:5">
      <c r="A213">
        <v>210</v>
      </c>
      <c r="B213" s="4">
        <f>-PPMT('With Loan'!$D$41/12,'30% Down Amortization'!$A213,360,'With Loan'!$D$40,0,0)</f>
        <v>821.65520778184487</v>
      </c>
      <c r="C213" s="4">
        <f>-IPMT('With Loan'!$D$41/12,'30% Down Amortization'!$A213,360,'With Loan'!$D$40,0,0)</f>
        <v>494.48688537473203</v>
      </c>
      <c r="D213" s="4">
        <f t="shared" si="7"/>
        <v>1316.1420931565769</v>
      </c>
      <c r="E213" s="3">
        <f t="shared" si="6"/>
        <v>157414.14811213248</v>
      </c>
    </row>
    <row r="214" spans="1:5">
      <c r="A214">
        <v>211</v>
      </c>
      <c r="B214" s="4">
        <f>-PPMT('With Loan'!$D$41/12,'30% Down Amortization'!$A214,360,'With Loan'!$D$40,0,0)</f>
        <v>824.22288030616323</v>
      </c>
      <c r="C214" s="4">
        <f>-IPMT('With Loan'!$D$41/12,'30% Down Amortization'!$A214,360,'With Loan'!$D$40,0,0)</f>
        <v>491.91921285041383</v>
      </c>
      <c r="D214" s="4">
        <f t="shared" si="7"/>
        <v>1316.1420931565772</v>
      </c>
      <c r="E214" s="3">
        <f t="shared" si="6"/>
        <v>156589.92523182632</v>
      </c>
    </row>
    <row r="215" spans="1:5">
      <c r="A215">
        <v>212</v>
      </c>
      <c r="B215" s="4">
        <f>-PPMT('With Loan'!$D$41/12,'30% Down Amortization'!$A215,360,'With Loan'!$D$40,0,0)</f>
        <v>826.79857680712007</v>
      </c>
      <c r="C215" s="4">
        <f>-IPMT('With Loan'!$D$41/12,'30% Down Amortization'!$A215,360,'With Loan'!$D$40,0,0)</f>
        <v>489.3435163494571</v>
      </c>
      <c r="D215" s="4">
        <f t="shared" si="7"/>
        <v>1316.1420931565772</v>
      </c>
      <c r="E215" s="3">
        <f t="shared" si="6"/>
        <v>155763.12665501921</v>
      </c>
    </row>
    <row r="216" spans="1:5">
      <c r="A216">
        <v>213</v>
      </c>
      <c r="B216" s="4">
        <f>-PPMT('With Loan'!$D$41/12,'30% Down Amortization'!$A216,360,'With Loan'!$D$40,0,0)</f>
        <v>829.38232235964233</v>
      </c>
      <c r="C216" s="4">
        <f>-IPMT('With Loan'!$D$41/12,'30% Down Amortization'!$A216,360,'With Loan'!$D$40,0,0)</f>
        <v>486.7597707969349</v>
      </c>
      <c r="D216" s="4">
        <f t="shared" si="7"/>
        <v>1316.1420931565772</v>
      </c>
      <c r="E216" s="3">
        <f t="shared" si="6"/>
        <v>154933.74433265955</v>
      </c>
    </row>
    <row r="217" spans="1:5">
      <c r="A217">
        <v>214</v>
      </c>
      <c r="B217" s="4">
        <f>-PPMT('With Loan'!$D$41/12,'30% Down Amortization'!$A217,360,'With Loan'!$D$40,0,0)</f>
        <v>831.97414211701607</v>
      </c>
      <c r="C217" s="4">
        <f>-IPMT('With Loan'!$D$41/12,'30% Down Amortization'!$A217,360,'With Loan'!$D$40,0,0)</f>
        <v>484.16795103956105</v>
      </c>
      <c r="D217" s="4">
        <f t="shared" si="7"/>
        <v>1316.1420931565772</v>
      </c>
      <c r="E217" s="3">
        <f t="shared" si="6"/>
        <v>154101.77019054253</v>
      </c>
    </row>
    <row r="218" spans="1:5">
      <c r="A218">
        <v>215</v>
      </c>
      <c r="B218" s="4">
        <f>-PPMT('With Loan'!$D$41/12,'30% Down Amortization'!$A218,360,'With Loan'!$D$40,0,0)</f>
        <v>834.5740613111318</v>
      </c>
      <c r="C218" s="4">
        <f>-IPMT('With Loan'!$D$41/12,'30% Down Amortization'!$A218,360,'With Loan'!$D$40,0,0)</f>
        <v>481.5680318454452</v>
      </c>
      <c r="D218" s="4">
        <f t="shared" si="7"/>
        <v>1316.1420931565769</v>
      </c>
      <c r="E218" s="3">
        <f t="shared" si="6"/>
        <v>153267.19612923139</v>
      </c>
    </row>
    <row r="219" spans="1:5">
      <c r="A219">
        <v>216</v>
      </c>
      <c r="B219" s="4">
        <f>-PPMT('With Loan'!$D$41/12,'30% Down Amortization'!$A219,360,'With Loan'!$D$40,0,0)</f>
        <v>837.18210525272889</v>
      </c>
      <c r="C219" s="4">
        <f>-IPMT('With Loan'!$D$41/12,'30% Down Amortization'!$A219,360,'With Loan'!$D$40,0,0)</f>
        <v>478.95998790384795</v>
      </c>
      <c r="D219" s="4">
        <f t="shared" si="7"/>
        <v>1316.1420931565767</v>
      </c>
      <c r="E219" s="3">
        <f t="shared" si="6"/>
        <v>152430.01402397867</v>
      </c>
    </row>
    <row r="220" spans="1:5">
      <c r="A220">
        <v>217</v>
      </c>
      <c r="B220" s="4">
        <f>-PPMT('With Loan'!$D$41/12,'30% Down Amortization'!$A220,360,'With Loan'!$D$40,0,0)</f>
        <v>839.79829933164399</v>
      </c>
      <c r="C220" s="4">
        <f>-IPMT('With Loan'!$D$41/12,'30% Down Amortization'!$A220,360,'With Loan'!$D$40,0,0)</f>
        <v>476.3437938249333</v>
      </c>
      <c r="D220" s="4">
        <f t="shared" si="7"/>
        <v>1316.1420931565772</v>
      </c>
      <c r="E220" s="3">
        <f t="shared" si="6"/>
        <v>151590.21572464702</v>
      </c>
    </row>
    <row r="221" spans="1:5">
      <c r="A221">
        <v>218</v>
      </c>
      <c r="B221" s="4">
        <f>-PPMT('With Loan'!$D$41/12,'30% Down Amortization'!$A221,360,'With Loan'!$D$40,0,0)</f>
        <v>842.42266901705523</v>
      </c>
      <c r="C221" s="4">
        <f>-IPMT('With Loan'!$D$41/12,'30% Down Amortization'!$A221,360,'With Loan'!$D$40,0,0)</f>
        <v>473.71942413952189</v>
      </c>
      <c r="D221" s="4">
        <f t="shared" si="7"/>
        <v>1316.1420931565772</v>
      </c>
      <c r="E221" s="3">
        <f t="shared" si="6"/>
        <v>150747.79305562997</v>
      </c>
    </row>
    <row r="222" spans="1:5">
      <c r="A222">
        <v>219</v>
      </c>
      <c r="B222" s="4">
        <f>-PPMT('With Loan'!$D$41/12,'30% Down Amortization'!$A222,360,'With Loan'!$D$40,0,0)</f>
        <v>845.05523985773357</v>
      </c>
      <c r="C222" s="4">
        <f>-IPMT('With Loan'!$D$41/12,'30% Down Amortization'!$A222,360,'With Loan'!$D$40,0,0)</f>
        <v>471.08685329884355</v>
      </c>
      <c r="D222" s="4">
        <f t="shared" si="7"/>
        <v>1316.1420931565772</v>
      </c>
      <c r="E222" s="3">
        <f t="shared" si="6"/>
        <v>149902.73781577224</v>
      </c>
    </row>
    <row r="223" spans="1:5">
      <c r="A223">
        <v>220</v>
      </c>
      <c r="B223" s="4">
        <f>-PPMT('With Loan'!$D$41/12,'30% Down Amortization'!$A223,360,'With Loan'!$D$40,0,0)</f>
        <v>847.69603748228883</v>
      </c>
      <c r="C223" s="4">
        <f>-IPMT('With Loan'!$D$41/12,'30% Down Amortization'!$A223,360,'With Loan'!$D$40,0,0)</f>
        <v>468.44605567428812</v>
      </c>
      <c r="D223" s="4">
        <f t="shared" si="7"/>
        <v>1316.1420931565769</v>
      </c>
      <c r="E223" s="3">
        <f t="shared" si="6"/>
        <v>149055.04177828995</v>
      </c>
    </row>
    <row r="224" spans="1:5">
      <c r="A224">
        <v>221</v>
      </c>
      <c r="B224" s="4">
        <f>-PPMT('With Loan'!$D$41/12,'30% Down Amortization'!$A224,360,'With Loan'!$D$40,0,0)</f>
        <v>850.34508759942105</v>
      </c>
      <c r="C224" s="4">
        <f>-IPMT('With Loan'!$D$41/12,'30% Down Amortization'!$A224,360,'With Loan'!$D$40,0,0)</f>
        <v>465.79700555715596</v>
      </c>
      <c r="D224" s="4">
        <f t="shared" si="7"/>
        <v>1316.1420931565769</v>
      </c>
      <c r="E224" s="3">
        <f t="shared" si="6"/>
        <v>148204.69669069053</v>
      </c>
    </row>
    <row r="225" spans="1:5">
      <c r="A225">
        <v>222</v>
      </c>
      <c r="B225" s="4">
        <f>-PPMT('With Loan'!$D$41/12,'30% Down Amortization'!$A225,360,'With Loan'!$D$40,0,0)</f>
        <v>853.00241599816934</v>
      </c>
      <c r="C225" s="4">
        <f>-IPMT('With Loan'!$D$41/12,'30% Down Amortization'!$A225,360,'With Loan'!$D$40,0,0)</f>
        <v>463.13967715840766</v>
      </c>
      <c r="D225" s="4">
        <f t="shared" si="7"/>
        <v>1316.1420931565769</v>
      </c>
      <c r="E225" s="3">
        <f t="shared" si="6"/>
        <v>147351.69427469236</v>
      </c>
    </row>
    <row r="226" spans="1:5">
      <c r="A226">
        <v>223</v>
      </c>
      <c r="B226" s="4">
        <f>-PPMT('With Loan'!$D$41/12,'30% Down Amortization'!$A226,360,'With Loan'!$D$40,0,0)</f>
        <v>855.6680485481636</v>
      </c>
      <c r="C226" s="4">
        <f>-IPMT('With Loan'!$D$41/12,'30% Down Amortization'!$A226,360,'With Loan'!$D$40,0,0)</f>
        <v>460.47404460841352</v>
      </c>
      <c r="D226" s="4">
        <f t="shared" si="7"/>
        <v>1316.1420931565772</v>
      </c>
      <c r="E226" s="3">
        <f t="shared" ref="E226:E289" si="8">E225-B226</f>
        <v>146496.0262261442</v>
      </c>
    </row>
    <row r="227" spans="1:5">
      <c r="A227">
        <v>224</v>
      </c>
      <c r="B227" s="4">
        <f>-PPMT('With Loan'!$D$41/12,'30% Down Amortization'!$A227,360,'With Loan'!$D$40,0,0)</f>
        <v>858.34201119987654</v>
      </c>
      <c r="C227" s="4">
        <f>-IPMT('With Loan'!$D$41/12,'30% Down Amortization'!$A227,360,'With Loan'!$D$40,0,0)</f>
        <v>457.80008195670047</v>
      </c>
      <c r="D227" s="4">
        <f t="shared" si="7"/>
        <v>1316.1420931565769</v>
      </c>
      <c r="E227" s="3">
        <f t="shared" si="8"/>
        <v>145637.68421494431</v>
      </c>
    </row>
    <row r="228" spans="1:5">
      <c r="A228">
        <v>225</v>
      </c>
      <c r="B228" s="4">
        <f>-PPMT('With Loan'!$D$41/12,'30% Down Amortization'!$A228,360,'With Loan'!$D$40,0,0)</f>
        <v>861.02432998487609</v>
      </c>
      <c r="C228" s="4">
        <f>-IPMT('With Loan'!$D$41/12,'30% Down Amortization'!$A228,360,'With Loan'!$D$40,0,0)</f>
        <v>455.11776317170086</v>
      </c>
      <c r="D228" s="4">
        <f t="shared" si="7"/>
        <v>1316.1420931565769</v>
      </c>
      <c r="E228" s="3">
        <f t="shared" si="8"/>
        <v>144776.65988495943</v>
      </c>
    </row>
    <row r="229" spans="1:5">
      <c r="A229">
        <v>226</v>
      </c>
      <c r="B229" s="4">
        <f>-PPMT('With Loan'!$D$41/12,'30% Down Amortization'!$A229,360,'With Loan'!$D$40,0,0)</f>
        <v>863.7150310160788</v>
      </c>
      <c r="C229" s="4">
        <f>-IPMT('With Loan'!$D$41/12,'30% Down Amortization'!$A229,360,'With Loan'!$D$40,0,0)</f>
        <v>452.42706214049821</v>
      </c>
      <c r="D229" s="4">
        <f t="shared" si="7"/>
        <v>1316.1420931565769</v>
      </c>
      <c r="E229" s="3">
        <f t="shared" si="8"/>
        <v>143912.94485394337</v>
      </c>
    </row>
    <row r="230" spans="1:5">
      <c r="A230">
        <v>227</v>
      </c>
      <c r="B230" s="4">
        <f>-PPMT('With Loan'!$D$41/12,'30% Down Amortization'!$A230,360,'With Loan'!$D$40,0,0)</f>
        <v>866.41414048800425</v>
      </c>
      <c r="C230" s="4">
        <f>-IPMT('With Loan'!$D$41/12,'30% Down Amortization'!$A230,360,'With Loan'!$D$40,0,0)</f>
        <v>449.72795266857287</v>
      </c>
      <c r="D230" s="4">
        <f t="shared" si="7"/>
        <v>1316.1420931565772</v>
      </c>
      <c r="E230" s="3">
        <f t="shared" si="8"/>
        <v>143046.53071345537</v>
      </c>
    </row>
    <row r="231" spans="1:5">
      <c r="A231">
        <v>228</v>
      </c>
      <c r="B231" s="4">
        <f>-PPMT('With Loan'!$D$41/12,'30% Down Amortization'!$A231,360,'With Loan'!$D$40,0,0)</f>
        <v>869.12168467702918</v>
      </c>
      <c r="C231" s="4">
        <f>-IPMT('With Loan'!$D$41/12,'30% Down Amortization'!$A231,360,'With Loan'!$D$40,0,0)</f>
        <v>447.02040847954794</v>
      </c>
      <c r="D231" s="4">
        <f t="shared" si="7"/>
        <v>1316.1420931565772</v>
      </c>
      <c r="E231" s="3">
        <f t="shared" si="8"/>
        <v>142177.40902877835</v>
      </c>
    </row>
    <row r="232" spans="1:5">
      <c r="A232">
        <v>229</v>
      </c>
      <c r="B232" s="4">
        <f>-PPMT('With Loan'!$D$41/12,'30% Down Amortization'!$A232,360,'With Loan'!$D$40,0,0)</f>
        <v>871.83768994164484</v>
      </c>
      <c r="C232" s="4">
        <f>-IPMT('With Loan'!$D$41/12,'30% Down Amortization'!$A232,360,'With Loan'!$D$40,0,0)</f>
        <v>444.30440321493211</v>
      </c>
      <c r="D232" s="4">
        <f t="shared" si="7"/>
        <v>1316.1420931565769</v>
      </c>
      <c r="E232" s="3">
        <f t="shared" si="8"/>
        <v>141305.57133883671</v>
      </c>
    </row>
    <row r="233" spans="1:5">
      <c r="A233">
        <v>230</v>
      </c>
      <c r="B233" s="4">
        <f>-PPMT('With Loan'!$D$41/12,'30% Down Amortization'!$A233,360,'With Loan'!$D$40,0,0)</f>
        <v>874.56218272271269</v>
      </c>
      <c r="C233" s="4">
        <f>-IPMT('With Loan'!$D$41/12,'30% Down Amortization'!$A233,360,'With Loan'!$D$40,0,0)</f>
        <v>441.5799104338646</v>
      </c>
      <c r="D233" s="4">
        <f t="shared" si="7"/>
        <v>1316.1420931565772</v>
      </c>
      <c r="E233" s="3">
        <f t="shared" si="8"/>
        <v>140431.00915611401</v>
      </c>
    </row>
    <row r="234" spans="1:5">
      <c r="A234">
        <v>231</v>
      </c>
      <c r="B234" s="4">
        <f>-PPMT('With Loan'!$D$41/12,'30% Down Amortization'!$A234,360,'With Loan'!$D$40,0,0)</f>
        <v>877.29518954372099</v>
      </c>
      <c r="C234" s="4">
        <f>-IPMT('With Loan'!$D$41/12,'30% Down Amortization'!$A234,360,'With Loan'!$D$40,0,0)</f>
        <v>438.84690361285618</v>
      </c>
      <c r="D234" s="4">
        <f t="shared" si="7"/>
        <v>1316.1420931565772</v>
      </c>
      <c r="E234" s="3">
        <f t="shared" si="8"/>
        <v>139553.7139665703</v>
      </c>
    </row>
    <row r="235" spans="1:5">
      <c r="A235">
        <v>232</v>
      </c>
      <c r="B235" s="4">
        <f>-PPMT('With Loan'!$D$41/12,'30% Down Amortization'!$A235,360,'With Loan'!$D$40,0,0)</f>
        <v>880.03673701104515</v>
      </c>
      <c r="C235" s="4">
        <f>-IPMT('With Loan'!$D$41/12,'30% Down Amortization'!$A235,360,'With Loan'!$D$40,0,0)</f>
        <v>436.10535614553197</v>
      </c>
      <c r="D235" s="4">
        <f t="shared" si="7"/>
        <v>1316.1420931565772</v>
      </c>
      <c r="E235" s="3">
        <f t="shared" si="8"/>
        <v>138673.67722955925</v>
      </c>
    </row>
    <row r="236" spans="1:5">
      <c r="A236">
        <v>233</v>
      </c>
      <c r="B236" s="4">
        <f>-PPMT('With Loan'!$D$41/12,'30% Down Amortization'!$A236,360,'With Loan'!$D$40,0,0)</f>
        <v>882.78685181420451</v>
      </c>
      <c r="C236" s="4">
        <f>-IPMT('With Loan'!$D$41/12,'30% Down Amortization'!$A236,360,'With Loan'!$D$40,0,0)</f>
        <v>433.35524134237238</v>
      </c>
      <c r="D236" s="4">
        <f t="shared" si="7"/>
        <v>1316.1420931565769</v>
      </c>
      <c r="E236" s="3">
        <f t="shared" si="8"/>
        <v>137790.89037774506</v>
      </c>
    </row>
    <row r="237" spans="1:5">
      <c r="A237">
        <v>234</v>
      </c>
      <c r="B237" s="4">
        <f>-PPMT('With Loan'!$D$41/12,'30% Down Amortization'!$A237,360,'With Loan'!$D$40,0,0)</f>
        <v>885.54556072612411</v>
      </c>
      <c r="C237" s="4">
        <f>-IPMT('With Loan'!$D$41/12,'30% Down Amortization'!$A237,360,'With Loan'!$D$40,0,0)</f>
        <v>430.59653243045312</v>
      </c>
      <c r="D237" s="4">
        <f t="shared" si="7"/>
        <v>1316.1420931565772</v>
      </c>
      <c r="E237" s="3">
        <f t="shared" si="8"/>
        <v>136905.34481701895</v>
      </c>
    </row>
    <row r="238" spans="1:5">
      <c r="A238">
        <v>235</v>
      </c>
      <c r="B238" s="4">
        <f>-PPMT('With Loan'!$D$41/12,'30% Down Amortization'!$A238,360,'With Loan'!$D$40,0,0)</f>
        <v>888.31289060339327</v>
      </c>
      <c r="C238" s="4">
        <f>-IPMT('With Loan'!$D$41/12,'30% Down Amortization'!$A238,360,'With Loan'!$D$40,0,0)</f>
        <v>427.82920255318385</v>
      </c>
      <c r="D238" s="4">
        <f t="shared" si="7"/>
        <v>1316.1420931565772</v>
      </c>
      <c r="E238" s="3">
        <f t="shared" si="8"/>
        <v>136017.03192641557</v>
      </c>
    </row>
    <row r="239" spans="1:5">
      <c r="A239">
        <v>236</v>
      </c>
      <c r="B239" s="4">
        <f>-PPMT('With Loan'!$D$41/12,'30% Down Amortization'!$A239,360,'With Loan'!$D$40,0,0)</f>
        <v>891.08886838652882</v>
      </c>
      <c r="C239" s="4">
        <f>-IPMT('With Loan'!$D$41/12,'30% Down Amortization'!$A239,360,'With Loan'!$D$40,0,0)</f>
        <v>425.05322477004836</v>
      </c>
      <c r="D239" s="4">
        <f t="shared" si="7"/>
        <v>1316.1420931565772</v>
      </c>
      <c r="E239" s="3">
        <f t="shared" si="8"/>
        <v>135125.94305802905</v>
      </c>
    </row>
    <row r="240" spans="1:5">
      <c r="A240">
        <v>237</v>
      </c>
      <c r="B240" s="4">
        <f>-PPMT('With Loan'!$D$41/12,'30% Down Amortization'!$A240,360,'With Loan'!$D$40,0,0)</f>
        <v>893.87352110023664</v>
      </c>
      <c r="C240" s="4">
        <f>-IPMT('With Loan'!$D$41/12,'30% Down Amortization'!$A240,360,'With Loan'!$D$40,0,0)</f>
        <v>422.26857205634036</v>
      </c>
      <c r="D240" s="4">
        <f t="shared" si="7"/>
        <v>1316.1420931565769</v>
      </c>
      <c r="E240" s="3">
        <f t="shared" si="8"/>
        <v>134232.06953692882</v>
      </c>
    </row>
    <row r="241" spans="1:5">
      <c r="A241">
        <v>238</v>
      </c>
      <c r="B241" s="4">
        <f>-PPMT('With Loan'!$D$41/12,'30% Down Amortization'!$A241,360,'With Loan'!$D$40,0,0)</f>
        <v>896.66687585367504</v>
      </c>
      <c r="C241" s="4">
        <f>-IPMT('With Loan'!$D$41/12,'30% Down Amortization'!$A241,360,'With Loan'!$D$40,0,0)</f>
        <v>419.47521730290208</v>
      </c>
      <c r="D241" s="4">
        <f t="shared" si="7"/>
        <v>1316.1420931565772</v>
      </c>
      <c r="E241" s="3">
        <f t="shared" si="8"/>
        <v>133335.40266107515</v>
      </c>
    </row>
    <row r="242" spans="1:5">
      <c r="A242">
        <v>239</v>
      </c>
      <c r="B242" s="4">
        <f>-PPMT('With Loan'!$D$41/12,'30% Down Amortization'!$A242,360,'With Loan'!$D$40,0,0)</f>
        <v>899.46895984071773</v>
      </c>
      <c r="C242" s="4">
        <f>-IPMT('With Loan'!$D$41/12,'30% Down Amortization'!$A242,360,'With Loan'!$D$40,0,0)</f>
        <v>416.67313331585945</v>
      </c>
      <c r="D242" s="4">
        <f t="shared" si="7"/>
        <v>1316.1420931565772</v>
      </c>
      <c r="E242" s="3">
        <f t="shared" si="8"/>
        <v>132435.93370123443</v>
      </c>
    </row>
    <row r="243" spans="1:5">
      <c r="A243">
        <v>240</v>
      </c>
      <c r="B243" s="4">
        <f>-PPMT('With Loan'!$D$41/12,'30% Down Amortization'!$A243,360,'With Loan'!$D$40,0,0)</f>
        <v>902.27980034021994</v>
      </c>
      <c r="C243" s="4">
        <f>-IPMT('With Loan'!$D$41/12,'30% Down Amortization'!$A243,360,'With Loan'!$D$40,0,0)</f>
        <v>413.86229281635718</v>
      </c>
      <c r="D243" s="4">
        <f t="shared" si="7"/>
        <v>1316.1420931565772</v>
      </c>
      <c r="E243" s="3">
        <f t="shared" si="8"/>
        <v>131533.65390089422</v>
      </c>
    </row>
    <row r="244" spans="1:5">
      <c r="A244">
        <v>241</v>
      </c>
      <c r="B244" s="4">
        <f>-PPMT('With Loan'!$D$41/12,'30% Down Amortization'!$A244,360,'With Loan'!$D$40,0,0)</f>
        <v>905.09942471628301</v>
      </c>
      <c r="C244" s="4">
        <f>-IPMT('With Loan'!$D$41/12,'30% Down Amortization'!$A244,360,'With Loan'!$D$40,0,0)</f>
        <v>411.04266844029405</v>
      </c>
      <c r="D244" s="4">
        <f t="shared" si="7"/>
        <v>1316.1420931565772</v>
      </c>
      <c r="E244" s="3">
        <f t="shared" si="8"/>
        <v>130628.55447617793</v>
      </c>
    </row>
    <row r="245" spans="1:5">
      <c r="A245">
        <v>242</v>
      </c>
      <c r="B245" s="4">
        <f>-PPMT('With Loan'!$D$41/12,'30% Down Amortization'!$A245,360,'With Loan'!$D$40,0,0)</f>
        <v>907.9278604185215</v>
      </c>
      <c r="C245" s="4">
        <f>-IPMT('With Loan'!$D$41/12,'30% Down Amortization'!$A245,360,'With Loan'!$D$40,0,0)</f>
        <v>408.21423273805556</v>
      </c>
      <c r="D245" s="4">
        <f t="shared" si="7"/>
        <v>1316.1420931565772</v>
      </c>
      <c r="E245" s="3">
        <f t="shared" si="8"/>
        <v>129720.62661575941</v>
      </c>
    </row>
    <row r="246" spans="1:5">
      <c r="A246">
        <v>243</v>
      </c>
      <c r="B246" s="4">
        <f>-PPMT('With Loan'!$D$41/12,'30% Down Amortization'!$A246,360,'With Loan'!$D$40,0,0)</f>
        <v>910.76513498232941</v>
      </c>
      <c r="C246" s="4">
        <f>-IPMT('With Loan'!$D$41/12,'30% Down Amortization'!$A246,360,'With Loan'!$D$40,0,0)</f>
        <v>405.3769581742477</v>
      </c>
      <c r="D246" s="4">
        <f t="shared" si="7"/>
        <v>1316.1420931565772</v>
      </c>
      <c r="E246" s="3">
        <f t="shared" si="8"/>
        <v>128809.86148077708</v>
      </c>
    </row>
    <row r="247" spans="1:5">
      <c r="A247">
        <v>244</v>
      </c>
      <c r="B247" s="4">
        <f>-PPMT('With Loan'!$D$41/12,'30% Down Amortization'!$A247,360,'With Loan'!$D$40,0,0)</f>
        <v>913.61127602914905</v>
      </c>
      <c r="C247" s="4">
        <f>-IPMT('With Loan'!$D$41/12,'30% Down Amortization'!$A247,360,'With Loan'!$D$40,0,0)</f>
        <v>402.53081712742795</v>
      </c>
      <c r="D247" s="4">
        <f t="shared" si="7"/>
        <v>1316.1420931565769</v>
      </c>
      <c r="E247" s="3">
        <f t="shared" si="8"/>
        <v>127896.25020474794</v>
      </c>
    </row>
    <row r="248" spans="1:5">
      <c r="A248">
        <v>245</v>
      </c>
      <c r="B248" s="4">
        <f>-PPMT('With Loan'!$D$41/12,'30% Down Amortization'!$A248,360,'With Loan'!$D$40,0,0)</f>
        <v>916.46631126674015</v>
      </c>
      <c r="C248" s="4">
        <f>-IPMT('With Loan'!$D$41/12,'30% Down Amortization'!$A248,360,'With Loan'!$D$40,0,0)</f>
        <v>399.6757818898368</v>
      </c>
      <c r="D248" s="4">
        <f t="shared" si="7"/>
        <v>1316.1420931565769</v>
      </c>
      <c r="E248" s="3">
        <f t="shared" si="8"/>
        <v>126979.7838934812</v>
      </c>
    </row>
    <row r="249" spans="1:5">
      <c r="A249">
        <v>246</v>
      </c>
      <c r="B249" s="4">
        <f>-PPMT('With Loan'!$D$41/12,'30% Down Amortization'!$A249,360,'With Loan'!$D$40,0,0)</f>
        <v>919.33026848944871</v>
      </c>
      <c r="C249" s="4">
        <f>-IPMT('With Loan'!$D$41/12,'30% Down Amortization'!$A249,360,'With Loan'!$D$40,0,0)</f>
        <v>396.81182466712829</v>
      </c>
      <c r="D249" s="4">
        <f t="shared" si="7"/>
        <v>1316.1420931565769</v>
      </c>
      <c r="E249" s="3">
        <f t="shared" si="8"/>
        <v>126060.45362499176</v>
      </c>
    </row>
    <row r="250" spans="1:5">
      <c r="A250">
        <v>247</v>
      </c>
      <c r="B250" s="4">
        <f>-PPMT('With Loan'!$D$41/12,'30% Down Amortization'!$A250,360,'With Loan'!$D$40,0,0)</f>
        <v>922.20317557847818</v>
      </c>
      <c r="C250" s="4">
        <f>-IPMT('With Loan'!$D$41/12,'30% Down Amortization'!$A250,360,'With Loan'!$D$40,0,0)</f>
        <v>393.93891757809871</v>
      </c>
      <c r="D250" s="4">
        <f t="shared" si="7"/>
        <v>1316.1420931565769</v>
      </c>
      <c r="E250" s="3">
        <f t="shared" si="8"/>
        <v>125138.25044941327</v>
      </c>
    </row>
    <row r="251" spans="1:5">
      <c r="A251">
        <v>248</v>
      </c>
      <c r="B251" s="4">
        <f>-PPMT('With Loan'!$D$41/12,'30% Down Amortization'!$A251,360,'With Loan'!$D$40,0,0)</f>
        <v>925.08506050216101</v>
      </c>
      <c r="C251" s="4">
        <f>-IPMT('With Loan'!$D$41/12,'30% Down Amortization'!$A251,360,'With Loan'!$D$40,0,0)</f>
        <v>391.05703265441593</v>
      </c>
      <c r="D251" s="4">
        <f t="shared" si="7"/>
        <v>1316.1420931565769</v>
      </c>
      <c r="E251" s="3">
        <f t="shared" si="8"/>
        <v>124213.16538891112</v>
      </c>
    </row>
    <row r="252" spans="1:5">
      <c r="A252">
        <v>249</v>
      </c>
      <c r="B252" s="4">
        <f>-PPMT('With Loan'!$D$41/12,'30% Down Amortization'!$A252,360,'With Loan'!$D$40,0,0)</f>
        <v>927.97595131623029</v>
      </c>
      <c r="C252" s="4">
        <f>-IPMT('With Loan'!$D$41/12,'30% Down Amortization'!$A252,360,'With Loan'!$D$40,0,0)</f>
        <v>388.16614184034671</v>
      </c>
      <c r="D252" s="4">
        <f t="shared" si="7"/>
        <v>1316.1420931565769</v>
      </c>
      <c r="E252" s="3">
        <f t="shared" si="8"/>
        <v>123285.18943759489</v>
      </c>
    </row>
    <row r="253" spans="1:5">
      <c r="A253">
        <v>250</v>
      </c>
      <c r="B253" s="4">
        <f>-PPMT('With Loan'!$D$41/12,'30% Down Amortization'!$A253,360,'With Loan'!$D$40,0,0)</f>
        <v>930.8758761640936</v>
      </c>
      <c r="C253" s="4">
        <f>-IPMT('With Loan'!$D$41/12,'30% Down Amortization'!$A253,360,'With Loan'!$D$40,0,0)</f>
        <v>385.26621699248352</v>
      </c>
      <c r="D253" s="4">
        <f t="shared" si="7"/>
        <v>1316.1420931565772</v>
      </c>
      <c r="E253" s="3">
        <f t="shared" si="8"/>
        <v>122354.3135614308</v>
      </c>
    </row>
    <row r="254" spans="1:5">
      <c r="A254">
        <v>251</v>
      </c>
      <c r="B254" s="4">
        <f>-PPMT('With Loan'!$D$41/12,'30% Down Amortization'!$A254,360,'With Loan'!$D$40,0,0)</f>
        <v>933.7848632771063</v>
      </c>
      <c r="C254" s="4">
        <f>-IPMT('With Loan'!$D$41/12,'30% Down Amortization'!$A254,360,'With Loan'!$D$40,0,0)</f>
        <v>382.35722987947071</v>
      </c>
      <c r="D254" s="4">
        <f t="shared" si="7"/>
        <v>1316.1420931565769</v>
      </c>
      <c r="E254" s="3">
        <f t="shared" si="8"/>
        <v>121420.52869815369</v>
      </c>
    </row>
    <row r="255" spans="1:5">
      <c r="A255">
        <v>252</v>
      </c>
      <c r="B255" s="4">
        <f>-PPMT('With Loan'!$D$41/12,'30% Down Amortization'!$A255,360,'With Loan'!$D$40,0,0)</f>
        <v>936.70294097484737</v>
      </c>
      <c r="C255" s="4">
        <f>-IPMT('With Loan'!$D$41/12,'30% Down Amortization'!$A255,360,'With Loan'!$D$40,0,0)</f>
        <v>379.43915218172981</v>
      </c>
      <c r="D255" s="4">
        <f t="shared" si="7"/>
        <v>1316.1420931565772</v>
      </c>
      <c r="E255" s="3">
        <f t="shared" si="8"/>
        <v>120483.82575717884</v>
      </c>
    </row>
    <row r="256" spans="1:5">
      <c r="A256">
        <v>253</v>
      </c>
      <c r="B256" s="4">
        <f>-PPMT('With Loan'!$D$41/12,'30% Down Amortization'!$A256,360,'With Loan'!$D$40,0,0)</f>
        <v>939.63013766539359</v>
      </c>
      <c r="C256" s="4">
        <f>-IPMT('With Loan'!$D$41/12,'30% Down Amortization'!$A256,360,'With Loan'!$D$40,0,0)</f>
        <v>376.51195549118336</v>
      </c>
      <c r="D256" s="4">
        <f t="shared" si="7"/>
        <v>1316.1420931565769</v>
      </c>
      <c r="E256" s="3">
        <f t="shared" si="8"/>
        <v>119544.19561951346</v>
      </c>
    </row>
    <row r="257" spans="1:5">
      <c r="A257">
        <v>254</v>
      </c>
      <c r="B257" s="4">
        <f>-PPMT('With Loan'!$D$41/12,'30% Down Amortization'!$A257,360,'With Loan'!$D$40,0,0)</f>
        <v>942.56648184559788</v>
      </c>
      <c r="C257" s="4">
        <f>-IPMT('With Loan'!$D$41/12,'30% Down Amortization'!$A257,360,'With Loan'!$D$40,0,0)</f>
        <v>373.57561131097907</v>
      </c>
      <c r="D257" s="4">
        <f t="shared" si="7"/>
        <v>1316.1420931565769</v>
      </c>
      <c r="E257" s="3">
        <f t="shared" si="8"/>
        <v>118601.62913766786</v>
      </c>
    </row>
    <row r="258" spans="1:5">
      <c r="A258">
        <v>255</v>
      </c>
      <c r="B258" s="4">
        <f>-PPMT('With Loan'!$D$41/12,'30% Down Amortization'!$A258,360,'With Loan'!$D$40,0,0)</f>
        <v>945.51200210136574</v>
      </c>
      <c r="C258" s="4">
        <f>-IPMT('With Loan'!$D$41/12,'30% Down Amortization'!$A258,360,'With Loan'!$D$40,0,0)</f>
        <v>370.63009105521149</v>
      </c>
      <c r="D258" s="4">
        <f t="shared" si="7"/>
        <v>1316.1420931565772</v>
      </c>
      <c r="E258" s="3">
        <f t="shared" si="8"/>
        <v>117656.11713556648</v>
      </c>
    </row>
    <row r="259" spans="1:5">
      <c r="A259">
        <v>256</v>
      </c>
      <c r="B259" s="4">
        <f>-PPMT('With Loan'!$D$41/12,'30% Down Amortization'!$A259,360,'With Loan'!$D$40,0,0)</f>
        <v>948.46672710793223</v>
      </c>
      <c r="C259" s="4">
        <f>-IPMT('With Loan'!$D$41/12,'30% Down Amortization'!$A259,360,'With Loan'!$D$40,0,0)</f>
        <v>367.67536604864472</v>
      </c>
      <c r="D259" s="4">
        <f t="shared" si="7"/>
        <v>1316.1420931565769</v>
      </c>
      <c r="E259" s="3">
        <f t="shared" si="8"/>
        <v>116707.65040845855</v>
      </c>
    </row>
    <row r="260" spans="1:5">
      <c r="A260">
        <v>257</v>
      </c>
      <c r="B260" s="4">
        <f>-PPMT('With Loan'!$D$41/12,'30% Down Amortization'!$A260,360,'With Loan'!$D$40,0,0)</f>
        <v>951.43068563014447</v>
      </c>
      <c r="C260" s="4">
        <f>-IPMT('With Loan'!$D$41/12,'30% Down Amortization'!$A260,360,'With Loan'!$D$40,0,0)</f>
        <v>364.71140752643248</v>
      </c>
      <c r="D260" s="4">
        <f t="shared" si="7"/>
        <v>1316.1420931565769</v>
      </c>
      <c r="E260" s="3">
        <f t="shared" si="8"/>
        <v>115756.21972282841</v>
      </c>
    </row>
    <row r="261" spans="1:5">
      <c r="A261">
        <v>258</v>
      </c>
      <c r="B261" s="4">
        <f>-PPMT('With Loan'!$D$41/12,'30% Down Amortization'!$A261,360,'With Loan'!$D$40,0,0)</f>
        <v>954.40390652273879</v>
      </c>
      <c r="C261" s="4">
        <f>-IPMT('With Loan'!$D$41/12,'30% Down Amortization'!$A261,360,'With Loan'!$D$40,0,0)</f>
        <v>361.73818663383827</v>
      </c>
      <c r="D261" s="4">
        <f t="shared" ref="D261:D324" si="9">B261+C261</f>
        <v>1316.1420931565772</v>
      </c>
      <c r="E261" s="3">
        <f t="shared" si="8"/>
        <v>114801.81581630567</v>
      </c>
    </row>
    <row r="262" spans="1:5">
      <c r="A262">
        <v>259</v>
      </c>
      <c r="B262" s="4">
        <f>-PPMT('With Loan'!$D$41/12,'30% Down Amortization'!$A262,360,'With Loan'!$D$40,0,0)</f>
        <v>957.38641873062238</v>
      </c>
      <c r="C262" s="4">
        <f>-IPMT('With Loan'!$D$41/12,'30% Down Amortization'!$A262,360,'With Loan'!$D$40,0,0)</f>
        <v>358.75567442595474</v>
      </c>
      <c r="D262" s="4">
        <f t="shared" si="9"/>
        <v>1316.1420931565772</v>
      </c>
      <c r="E262" s="3">
        <f t="shared" si="8"/>
        <v>113844.42939757505</v>
      </c>
    </row>
    <row r="263" spans="1:5">
      <c r="A263">
        <v>260</v>
      </c>
      <c r="B263" s="4">
        <f>-PPMT('With Loan'!$D$41/12,'30% Down Amortization'!$A263,360,'With Loan'!$D$40,0,0)</f>
        <v>960.37825128915551</v>
      </c>
      <c r="C263" s="4">
        <f>-IPMT('With Loan'!$D$41/12,'30% Down Amortization'!$A263,360,'With Loan'!$D$40,0,0)</f>
        <v>355.76384186742155</v>
      </c>
      <c r="D263" s="4">
        <f t="shared" si="9"/>
        <v>1316.1420931565772</v>
      </c>
      <c r="E263" s="3">
        <f t="shared" si="8"/>
        <v>112884.0511462859</v>
      </c>
    </row>
    <row r="264" spans="1:5">
      <c r="A264">
        <v>261</v>
      </c>
      <c r="B264" s="4">
        <f>-PPMT('With Loan'!$D$41/12,'30% Down Amortization'!$A264,360,'With Loan'!$D$40,0,0)</f>
        <v>963.37943332443422</v>
      </c>
      <c r="C264" s="4">
        <f>-IPMT('With Loan'!$D$41/12,'30% Down Amortization'!$A264,360,'With Loan'!$D$40,0,0)</f>
        <v>352.7626598321429</v>
      </c>
      <c r="D264" s="4">
        <f t="shared" si="9"/>
        <v>1316.1420931565772</v>
      </c>
      <c r="E264" s="3">
        <f t="shared" si="8"/>
        <v>111920.67171296147</v>
      </c>
    </row>
    <row r="265" spans="1:5">
      <c r="A265">
        <v>262</v>
      </c>
      <c r="B265" s="4">
        <f>-PPMT('With Loan'!$D$41/12,'30% Down Amortization'!$A265,360,'With Loan'!$D$40,0,0)</f>
        <v>966.38999405357288</v>
      </c>
      <c r="C265" s="4">
        <f>-IPMT('With Loan'!$D$41/12,'30% Down Amortization'!$A265,360,'With Loan'!$D$40,0,0)</f>
        <v>349.75209910300401</v>
      </c>
      <c r="D265" s="4">
        <f t="shared" si="9"/>
        <v>1316.1420931565769</v>
      </c>
      <c r="E265" s="3">
        <f t="shared" si="8"/>
        <v>110954.28171890789</v>
      </c>
    </row>
    <row r="266" spans="1:5">
      <c r="A266">
        <v>263</v>
      </c>
      <c r="B266" s="4">
        <f>-PPMT('With Loan'!$D$41/12,'30% Down Amortization'!$A266,360,'With Loan'!$D$40,0,0)</f>
        <v>969.40996278499028</v>
      </c>
      <c r="C266" s="4">
        <f>-IPMT('With Loan'!$D$41/12,'30% Down Amortization'!$A266,360,'With Loan'!$D$40,0,0)</f>
        <v>346.73213037158661</v>
      </c>
      <c r="D266" s="4">
        <f t="shared" si="9"/>
        <v>1316.1420931565769</v>
      </c>
      <c r="E266" s="3">
        <f t="shared" si="8"/>
        <v>109984.8717561229</v>
      </c>
    </row>
    <row r="267" spans="1:5">
      <c r="A267">
        <v>264</v>
      </c>
      <c r="B267" s="4">
        <f>-PPMT('With Loan'!$D$41/12,'30% Down Amortization'!$A267,360,'With Loan'!$D$40,0,0)</f>
        <v>972.4393689186935</v>
      </c>
      <c r="C267" s="4">
        <f>-IPMT('With Loan'!$D$41/12,'30% Down Amortization'!$A267,360,'With Loan'!$D$40,0,0)</f>
        <v>343.7027242378835</v>
      </c>
      <c r="D267" s="4">
        <f t="shared" si="9"/>
        <v>1316.1420931565769</v>
      </c>
      <c r="E267" s="3">
        <f t="shared" si="8"/>
        <v>109012.4323872042</v>
      </c>
    </row>
    <row r="268" spans="1:5">
      <c r="A268">
        <v>265</v>
      </c>
      <c r="B268" s="4">
        <f>-PPMT('With Loan'!$D$41/12,'30% Down Amortization'!$A268,360,'With Loan'!$D$40,0,0)</f>
        <v>975.47824194656448</v>
      </c>
      <c r="C268" s="4">
        <f>-IPMT('With Loan'!$D$41/12,'30% Down Amortization'!$A268,360,'With Loan'!$D$40,0,0)</f>
        <v>340.66385121001264</v>
      </c>
      <c r="D268" s="4">
        <f t="shared" si="9"/>
        <v>1316.1420931565772</v>
      </c>
      <c r="E268" s="3">
        <f t="shared" si="8"/>
        <v>108036.95414525764</v>
      </c>
    </row>
    <row r="269" spans="1:5">
      <c r="A269">
        <v>266</v>
      </c>
      <c r="B269" s="4">
        <f>-PPMT('With Loan'!$D$41/12,'30% Down Amortization'!$A269,360,'With Loan'!$D$40,0,0)</f>
        <v>978.52661145264744</v>
      </c>
      <c r="C269" s="4">
        <f>-IPMT('With Loan'!$D$41/12,'30% Down Amortization'!$A269,360,'With Loan'!$D$40,0,0)</f>
        <v>337.61548170392962</v>
      </c>
      <c r="D269" s="4">
        <f t="shared" si="9"/>
        <v>1316.1420931565772</v>
      </c>
      <c r="E269" s="3">
        <f t="shared" si="8"/>
        <v>107058.42753380499</v>
      </c>
    </row>
    <row r="270" spans="1:5">
      <c r="A270">
        <v>267</v>
      </c>
      <c r="B270" s="4">
        <f>-PPMT('With Loan'!$D$41/12,'30% Down Amortization'!$A270,360,'With Loan'!$D$40,0,0)</f>
        <v>981.58450711343698</v>
      </c>
      <c r="C270" s="4">
        <f>-IPMT('With Loan'!$D$41/12,'30% Down Amortization'!$A270,360,'With Loan'!$D$40,0,0)</f>
        <v>334.55758604314013</v>
      </c>
      <c r="D270" s="4">
        <f t="shared" si="9"/>
        <v>1316.1420931565772</v>
      </c>
      <c r="E270" s="3">
        <f t="shared" si="8"/>
        <v>106076.84302669155</v>
      </c>
    </row>
    <row r="271" spans="1:5">
      <c r="A271">
        <v>268</v>
      </c>
      <c r="B271" s="4">
        <f>-PPMT('With Loan'!$D$41/12,'30% Down Amortization'!$A271,360,'With Loan'!$D$40,0,0)</f>
        <v>984.65195869816648</v>
      </c>
      <c r="C271" s="4">
        <f>-IPMT('With Loan'!$D$41/12,'30% Down Amortization'!$A271,360,'With Loan'!$D$40,0,0)</f>
        <v>331.49013445841064</v>
      </c>
      <c r="D271" s="4">
        <f t="shared" si="9"/>
        <v>1316.1420931565772</v>
      </c>
      <c r="E271" s="3">
        <f t="shared" si="8"/>
        <v>105092.19106799339</v>
      </c>
    </row>
    <row r="272" spans="1:5">
      <c r="A272">
        <v>269</v>
      </c>
      <c r="B272" s="4">
        <f>-PPMT('With Loan'!$D$41/12,'30% Down Amortization'!$A272,360,'With Loan'!$D$40,0,0)</f>
        <v>987.72899606909823</v>
      </c>
      <c r="C272" s="4">
        <f>-IPMT('With Loan'!$D$41/12,'30% Down Amortization'!$A272,360,'With Loan'!$D$40,0,0)</f>
        <v>328.41309708747889</v>
      </c>
      <c r="D272" s="4">
        <f t="shared" si="9"/>
        <v>1316.1420931565772</v>
      </c>
      <c r="E272" s="3">
        <f t="shared" si="8"/>
        <v>104104.4620719243</v>
      </c>
    </row>
    <row r="273" spans="1:5">
      <c r="A273">
        <v>270</v>
      </c>
      <c r="B273" s="4">
        <f>-PPMT('With Loan'!$D$41/12,'30% Down Amortization'!$A273,360,'With Loan'!$D$40,0,0)</f>
        <v>990.81564918181402</v>
      </c>
      <c r="C273" s="4">
        <f>-IPMT('With Loan'!$D$41/12,'30% Down Amortization'!$A273,360,'With Loan'!$D$40,0,0)</f>
        <v>325.32644397476292</v>
      </c>
      <c r="D273" s="4">
        <f t="shared" si="9"/>
        <v>1316.1420931565769</v>
      </c>
      <c r="E273" s="3">
        <f t="shared" si="8"/>
        <v>103113.64642274249</v>
      </c>
    </row>
    <row r="274" spans="1:5">
      <c r="A274">
        <v>271</v>
      </c>
      <c r="B274" s="4">
        <f>-PPMT('With Loan'!$D$41/12,'30% Down Amortization'!$A274,360,'With Loan'!$D$40,0,0)</f>
        <v>993.91194808550745</v>
      </c>
      <c r="C274" s="4">
        <f>-IPMT('With Loan'!$D$41/12,'30% Down Amortization'!$A274,360,'With Loan'!$D$40,0,0)</f>
        <v>322.23014507106973</v>
      </c>
      <c r="D274" s="4">
        <f t="shared" si="9"/>
        <v>1316.1420931565772</v>
      </c>
      <c r="E274" s="3">
        <f t="shared" si="8"/>
        <v>102119.73447465699</v>
      </c>
    </row>
    <row r="275" spans="1:5">
      <c r="A275">
        <v>272</v>
      </c>
      <c r="B275" s="4">
        <f>-PPMT('With Loan'!$D$41/12,'30% Down Amortization'!$A275,360,'With Loan'!$D$40,0,0)</f>
        <v>997.01792292327457</v>
      </c>
      <c r="C275" s="4">
        <f>-IPMT('With Loan'!$D$41/12,'30% Down Amortization'!$A275,360,'With Loan'!$D$40,0,0)</f>
        <v>319.12417023330249</v>
      </c>
      <c r="D275" s="4">
        <f t="shared" si="9"/>
        <v>1316.1420931565772</v>
      </c>
      <c r="E275" s="3">
        <f t="shared" si="8"/>
        <v>101122.71655173371</v>
      </c>
    </row>
    <row r="276" spans="1:5">
      <c r="A276">
        <v>273</v>
      </c>
      <c r="B276" s="4">
        <f>-PPMT('With Loan'!$D$41/12,'30% Down Amortization'!$A276,360,'With Loan'!$D$40,0,0)</f>
        <v>1000.1336039324098</v>
      </c>
      <c r="C276" s="4">
        <f>-IPMT('With Loan'!$D$41/12,'30% Down Amortization'!$A276,360,'With Loan'!$D$40,0,0)</f>
        <v>316.00848922416731</v>
      </c>
      <c r="D276" s="4">
        <f t="shared" si="9"/>
        <v>1316.1420931565772</v>
      </c>
      <c r="E276" s="3">
        <f t="shared" si="8"/>
        <v>100122.5829478013</v>
      </c>
    </row>
    <row r="277" spans="1:5">
      <c r="A277">
        <v>274</v>
      </c>
      <c r="B277" s="4">
        <f>-PPMT('With Loan'!$D$41/12,'30% Down Amortization'!$A277,360,'With Loan'!$D$40,0,0)</f>
        <v>1003.2590214446984</v>
      </c>
      <c r="C277" s="4">
        <f>-IPMT('With Loan'!$D$41/12,'30% Down Amortization'!$A277,360,'With Loan'!$D$40,0,0)</f>
        <v>312.88307171187853</v>
      </c>
      <c r="D277" s="4">
        <f t="shared" si="9"/>
        <v>1316.1420931565769</v>
      </c>
      <c r="E277" s="3">
        <f t="shared" si="8"/>
        <v>99119.323926356607</v>
      </c>
    </row>
    <row r="278" spans="1:5">
      <c r="A278">
        <v>275</v>
      </c>
      <c r="B278" s="4">
        <f>-PPMT('With Loan'!$D$41/12,'30% Down Amortization'!$A278,360,'With Loan'!$D$40,0,0)</f>
        <v>1006.3942058867132</v>
      </c>
      <c r="C278" s="4">
        <f>-IPMT('With Loan'!$D$41/12,'30% Down Amortization'!$A278,360,'With Loan'!$D$40,0,0)</f>
        <v>309.74788726986372</v>
      </c>
      <c r="D278" s="4">
        <f t="shared" si="9"/>
        <v>1316.1420931565769</v>
      </c>
      <c r="E278" s="3">
        <f t="shared" si="8"/>
        <v>98112.929720469896</v>
      </c>
    </row>
    <row r="279" spans="1:5">
      <c r="A279">
        <v>276</v>
      </c>
      <c r="B279" s="4">
        <f>-PPMT('With Loan'!$D$41/12,'30% Down Amortization'!$A279,360,'With Loan'!$D$40,0,0)</f>
        <v>1009.5391877801092</v>
      </c>
      <c r="C279" s="4">
        <f>-IPMT('With Loan'!$D$41/12,'30% Down Amortization'!$A279,360,'With Loan'!$D$40,0,0)</f>
        <v>306.60290537646785</v>
      </c>
      <c r="D279" s="4">
        <f t="shared" si="9"/>
        <v>1316.1420931565769</v>
      </c>
      <c r="E279" s="3">
        <f t="shared" si="8"/>
        <v>97103.39053268978</v>
      </c>
    </row>
    <row r="280" spans="1:5">
      <c r="A280">
        <v>277</v>
      </c>
      <c r="B280" s="4">
        <f>-PPMT('With Loan'!$D$41/12,'30% Down Amortization'!$A280,360,'With Loan'!$D$40,0,0)</f>
        <v>1012.693997741922</v>
      </c>
      <c r="C280" s="4">
        <f>-IPMT('With Loan'!$D$41/12,'30% Down Amortization'!$A280,360,'With Loan'!$D$40,0,0)</f>
        <v>303.44809541465497</v>
      </c>
      <c r="D280" s="4">
        <f t="shared" si="9"/>
        <v>1316.1420931565769</v>
      </c>
      <c r="E280" s="3">
        <f t="shared" si="8"/>
        <v>96090.696534947856</v>
      </c>
    </row>
    <row r="281" spans="1:5">
      <c r="A281">
        <v>278</v>
      </c>
      <c r="B281" s="4">
        <f>-PPMT('With Loan'!$D$41/12,'30% Down Amortization'!$A281,360,'With Loan'!$D$40,0,0)</f>
        <v>1015.8586664848655</v>
      </c>
      <c r="C281" s="4">
        <f>-IPMT('With Loan'!$D$41/12,'30% Down Amortization'!$A281,360,'With Loan'!$D$40,0,0)</f>
        <v>300.28342667171148</v>
      </c>
      <c r="D281" s="4">
        <f t="shared" si="9"/>
        <v>1316.1420931565769</v>
      </c>
      <c r="E281" s="3">
        <f t="shared" si="8"/>
        <v>95074.837868462986</v>
      </c>
    </row>
    <row r="282" spans="1:5">
      <c r="A282">
        <v>279</v>
      </c>
      <c r="B282" s="4">
        <f>-PPMT('With Loan'!$D$41/12,'30% Down Amortization'!$A282,360,'With Loan'!$D$40,0,0)</f>
        <v>1019.0332248176308</v>
      </c>
      <c r="C282" s="4">
        <f>-IPMT('With Loan'!$D$41/12,'30% Down Amortization'!$A282,360,'With Loan'!$D$40,0,0)</f>
        <v>297.10886833894631</v>
      </c>
      <c r="D282" s="4">
        <f t="shared" si="9"/>
        <v>1316.1420931565772</v>
      </c>
      <c r="E282" s="3">
        <f t="shared" si="8"/>
        <v>94055.804643645359</v>
      </c>
    </row>
    <row r="283" spans="1:5">
      <c r="A283">
        <v>280</v>
      </c>
      <c r="B283" s="4">
        <f>-PPMT('With Loan'!$D$41/12,'30% Down Amortization'!$A283,360,'With Loan'!$D$40,0,0)</f>
        <v>1022.2177036451857</v>
      </c>
      <c r="C283" s="4">
        <f>-IPMT('With Loan'!$D$41/12,'30% Down Amortization'!$A283,360,'With Loan'!$D$40,0,0)</f>
        <v>293.92438951139121</v>
      </c>
      <c r="D283" s="4">
        <f t="shared" si="9"/>
        <v>1316.1420931565769</v>
      </c>
      <c r="E283" s="3">
        <f t="shared" si="8"/>
        <v>93033.586940000168</v>
      </c>
    </row>
    <row r="284" spans="1:5">
      <c r="A284">
        <v>281</v>
      </c>
      <c r="B284" s="4">
        <f>-PPMT('With Loan'!$D$41/12,'30% Down Amortization'!$A284,360,'With Loan'!$D$40,0,0)</f>
        <v>1025.4121339690771</v>
      </c>
      <c r="C284" s="4">
        <f>-IPMT('With Loan'!$D$41/12,'30% Down Amortization'!$A284,360,'With Loan'!$D$40,0,0)</f>
        <v>290.72995918750007</v>
      </c>
      <c r="D284" s="4">
        <f t="shared" si="9"/>
        <v>1316.1420931565772</v>
      </c>
      <c r="E284" s="3">
        <f t="shared" si="8"/>
        <v>92008.174806031093</v>
      </c>
    </row>
    <row r="285" spans="1:5">
      <c r="A285">
        <v>282</v>
      </c>
      <c r="B285" s="4">
        <f>-PPMT('With Loan'!$D$41/12,'30% Down Amortization'!$A285,360,'With Loan'!$D$40,0,0)</f>
        <v>1028.6165468877305</v>
      </c>
      <c r="C285" s="4">
        <f>-IPMT('With Loan'!$D$41/12,'30% Down Amortization'!$A285,360,'With Loan'!$D$40,0,0)</f>
        <v>287.52554626884665</v>
      </c>
      <c r="D285" s="4">
        <f t="shared" si="9"/>
        <v>1316.1420931565772</v>
      </c>
      <c r="E285" s="3">
        <f t="shared" si="8"/>
        <v>90979.558259143363</v>
      </c>
    </row>
    <row r="286" spans="1:5">
      <c r="A286">
        <v>283</v>
      </c>
      <c r="B286" s="4">
        <f>-PPMT('With Loan'!$D$41/12,'30% Down Amortization'!$A286,360,'With Loan'!$D$40,0,0)</f>
        <v>1031.8309735967546</v>
      </c>
      <c r="C286" s="4">
        <f>-IPMT('With Loan'!$D$41/12,'30% Down Amortization'!$A286,360,'With Loan'!$D$40,0,0)</f>
        <v>284.31111955982249</v>
      </c>
      <c r="D286" s="4">
        <f t="shared" si="9"/>
        <v>1316.1420931565772</v>
      </c>
      <c r="E286" s="3">
        <f t="shared" si="8"/>
        <v>89947.727285546614</v>
      </c>
    </row>
    <row r="287" spans="1:5">
      <c r="A287">
        <v>284</v>
      </c>
      <c r="B287" s="4">
        <f>-PPMT('With Loan'!$D$41/12,'30% Down Amortization'!$A287,360,'With Loan'!$D$40,0,0)</f>
        <v>1035.0554453892446</v>
      </c>
      <c r="C287" s="4">
        <f>-IPMT('With Loan'!$D$41/12,'30% Down Amortization'!$A287,360,'With Loan'!$D$40,0,0)</f>
        <v>281.08664776733258</v>
      </c>
      <c r="D287" s="4">
        <f t="shared" si="9"/>
        <v>1316.1420931565772</v>
      </c>
      <c r="E287" s="3">
        <f t="shared" si="8"/>
        <v>88912.671840157374</v>
      </c>
    </row>
    <row r="288" spans="1:5">
      <c r="A288">
        <v>285</v>
      </c>
      <c r="B288" s="4">
        <f>-PPMT('With Loan'!$D$41/12,'30% Down Amortization'!$A288,360,'With Loan'!$D$40,0,0)</f>
        <v>1038.2899936560859</v>
      </c>
      <c r="C288" s="4">
        <f>-IPMT('With Loan'!$D$41/12,'30% Down Amortization'!$A288,360,'With Loan'!$D$40,0,0)</f>
        <v>277.85209950049125</v>
      </c>
      <c r="D288" s="4">
        <f t="shared" si="9"/>
        <v>1316.1420931565772</v>
      </c>
      <c r="E288" s="3">
        <f t="shared" si="8"/>
        <v>87874.381846501288</v>
      </c>
    </row>
    <row r="289" spans="1:5">
      <c r="A289">
        <v>286</v>
      </c>
      <c r="B289" s="4">
        <f>-PPMT('With Loan'!$D$41/12,'30% Down Amortization'!$A289,360,'With Loan'!$D$40,0,0)</f>
        <v>1041.5346498862611</v>
      </c>
      <c r="C289" s="4">
        <f>-IPMT('With Loan'!$D$41/12,'30% Down Amortization'!$A289,360,'With Loan'!$D$40,0,0)</f>
        <v>274.60744327031603</v>
      </c>
      <c r="D289" s="4">
        <f t="shared" si="9"/>
        <v>1316.1420931565772</v>
      </c>
      <c r="E289" s="3">
        <f t="shared" si="8"/>
        <v>86832.847196615025</v>
      </c>
    </row>
    <row r="290" spans="1:5">
      <c r="A290">
        <v>287</v>
      </c>
      <c r="B290" s="4">
        <f>-PPMT('With Loan'!$D$41/12,'30% Down Amortization'!$A290,360,'With Loan'!$D$40,0,0)</f>
        <v>1044.7894456671556</v>
      </c>
      <c r="C290" s="4">
        <f>-IPMT('With Loan'!$D$41/12,'30% Down Amortization'!$A290,360,'With Loan'!$D$40,0,0)</f>
        <v>271.35264748942132</v>
      </c>
      <c r="D290" s="4">
        <f t="shared" si="9"/>
        <v>1316.1420931565769</v>
      </c>
      <c r="E290" s="3">
        <f t="shared" ref="E290:E353" si="10">E289-B290</f>
        <v>85788.057750947875</v>
      </c>
    </row>
    <row r="291" spans="1:5">
      <c r="A291">
        <v>288</v>
      </c>
      <c r="B291" s="4">
        <f>-PPMT('With Loan'!$D$41/12,'30% Down Amortization'!$A291,360,'With Loan'!$D$40,0,0)</f>
        <v>1048.0544126848654</v>
      </c>
      <c r="C291" s="4">
        <f>-IPMT('With Loan'!$D$41/12,'30% Down Amortization'!$A291,360,'With Loan'!$D$40,0,0)</f>
        <v>268.08768047171151</v>
      </c>
      <c r="D291" s="4">
        <f t="shared" si="9"/>
        <v>1316.1420931565769</v>
      </c>
      <c r="E291" s="3">
        <f t="shared" si="10"/>
        <v>84740.003338263006</v>
      </c>
    </row>
    <row r="292" spans="1:5">
      <c r="A292">
        <v>289</v>
      </c>
      <c r="B292" s="4">
        <f>-PPMT('With Loan'!$D$41/12,'30% Down Amortization'!$A292,360,'With Loan'!$D$40,0,0)</f>
        <v>1051.3295827245056</v>
      </c>
      <c r="C292" s="4">
        <f>-IPMT('With Loan'!$D$41/12,'30% Down Amortization'!$A292,360,'With Loan'!$D$40,0,0)</f>
        <v>264.81251043207135</v>
      </c>
      <c r="D292" s="4">
        <f t="shared" si="9"/>
        <v>1316.1420931565769</v>
      </c>
      <c r="E292" s="3">
        <f t="shared" si="10"/>
        <v>83688.673755538504</v>
      </c>
    </row>
    <row r="293" spans="1:5">
      <c r="A293">
        <v>290</v>
      </c>
      <c r="B293" s="4">
        <f>-PPMT('With Loan'!$D$41/12,'30% Down Amortization'!$A293,360,'With Loan'!$D$40,0,0)</f>
        <v>1054.6149876705199</v>
      </c>
      <c r="C293" s="4">
        <f>-IPMT('With Loan'!$D$41/12,'30% Down Amortization'!$A293,360,'With Loan'!$D$40,0,0)</f>
        <v>261.52710548605728</v>
      </c>
      <c r="D293" s="4">
        <f t="shared" si="9"/>
        <v>1316.1420931565772</v>
      </c>
      <c r="E293" s="3">
        <f t="shared" si="10"/>
        <v>82634.058767867988</v>
      </c>
    </row>
    <row r="294" spans="1:5">
      <c r="A294">
        <v>291</v>
      </c>
      <c r="B294" s="4">
        <f>-PPMT('With Loan'!$D$41/12,'30% Down Amortization'!$A294,360,'With Loan'!$D$40,0,0)</f>
        <v>1057.9106595069902</v>
      </c>
      <c r="C294" s="4">
        <f>-IPMT('With Loan'!$D$41/12,'30% Down Amortization'!$A294,360,'With Loan'!$D$40,0,0)</f>
        <v>258.2314336495869</v>
      </c>
      <c r="D294" s="4">
        <f t="shared" si="9"/>
        <v>1316.1420931565772</v>
      </c>
      <c r="E294" s="3">
        <f t="shared" si="10"/>
        <v>81576.148108360998</v>
      </c>
    </row>
    <row r="295" spans="1:5">
      <c r="A295">
        <v>292</v>
      </c>
      <c r="B295" s="4">
        <f>-PPMT('With Loan'!$D$41/12,'30% Down Amortization'!$A295,360,'With Loan'!$D$40,0,0)</f>
        <v>1061.2166303179495</v>
      </c>
      <c r="C295" s="4">
        <f>-IPMT('With Loan'!$D$41/12,'30% Down Amortization'!$A295,360,'With Loan'!$D$40,0,0)</f>
        <v>254.92546283862751</v>
      </c>
      <c r="D295" s="4">
        <f t="shared" si="9"/>
        <v>1316.1420931565769</v>
      </c>
      <c r="E295" s="3">
        <f t="shared" si="10"/>
        <v>80514.931478043043</v>
      </c>
    </row>
    <row r="296" spans="1:5">
      <c r="A296">
        <v>293</v>
      </c>
      <c r="B296" s="4">
        <f>-PPMT('With Loan'!$D$41/12,'30% Down Amortization'!$A296,360,'With Loan'!$D$40,0,0)</f>
        <v>1064.5329322876933</v>
      </c>
      <c r="C296" s="4">
        <f>-IPMT('With Loan'!$D$41/12,'30% Down Amortization'!$A296,360,'With Loan'!$D$40,0,0)</f>
        <v>251.60916086888395</v>
      </c>
      <c r="D296" s="4">
        <f t="shared" si="9"/>
        <v>1316.1420931565772</v>
      </c>
      <c r="E296" s="3">
        <f t="shared" si="10"/>
        <v>79450.39854575535</v>
      </c>
    </row>
    <row r="297" spans="1:5">
      <c r="A297">
        <v>294</v>
      </c>
      <c r="B297" s="4">
        <f>-PPMT('With Loan'!$D$41/12,'30% Down Amortization'!$A297,360,'With Loan'!$D$40,0,0)</f>
        <v>1067.8595977010923</v>
      </c>
      <c r="C297" s="4">
        <f>-IPMT('With Loan'!$D$41/12,'30% Down Amortization'!$A297,360,'With Loan'!$D$40,0,0)</f>
        <v>248.28249545548491</v>
      </c>
      <c r="D297" s="4">
        <f t="shared" si="9"/>
        <v>1316.1420931565772</v>
      </c>
      <c r="E297" s="3">
        <f t="shared" si="10"/>
        <v>78382.538948054251</v>
      </c>
    </row>
    <row r="298" spans="1:5">
      <c r="A298">
        <v>295</v>
      </c>
      <c r="B298" s="4">
        <f>-PPMT('With Loan'!$D$41/12,'30% Down Amortization'!$A298,360,'With Loan'!$D$40,0,0)</f>
        <v>1071.196658943908</v>
      </c>
      <c r="C298" s="4">
        <f>-IPMT('With Loan'!$D$41/12,'30% Down Amortization'!$A298,360,'With Loan'!$D$40,0,0)</f>
        <v>244.94543421266897</v>
      </c>
      <c r="D298" s="4">
        <f t="shared" si="9"/>
        <v>1316.1420931565769</v>
      </c>
      <c r="E298" s="3">
        <f t="shared" si="10"/>
        <v>77311.34228911034</v>
      </c>
    </row>
    <row r="299" spans="1:5">
      <c r="A299">
        <v>296</v>
      </c>
      <c r="B299" s="4">
        <f>-PPMT('With Loan'!$D$41/12,'30% Down Amortization'!$A299,360,'With Loan'!$D$40,0,0)</f>
        <v>1074.5441485031079</v>
      </c>
      <c r="C299" s="4">
        <f>-IPMT('With Loan'!$D$41/12,'30% Down Amortization'!$A299,360,'With Loan'!$D$40,0,0)</f>
        <v>241.59794465346928</v>
      </c>
      <c r="D299" s="4">
        <f t="shared" si="9"/>
        <v>1316.1420931565772</v>
      </c>
      <c r="E299" s="3">
        <f t="shared" si="10"/>
        <v>76236.798140607236</v>
      </c>
    </row>
    <row r="300" spans="1:5">
      <c r="A300">
        <v>297</v>
      </c>
      <c r="B300" s="4">
        <f>-PPMT('With Loan'!$D$41/12,'30% Down Amortization'!$A300,360,'With Loan'!$D$40,0,0)</f>
        <v>1077.9020989671799</v>
      </c>
      <c r="C300" s="4">
        <f>-IPMT('With Loan'!$D$41/12,'30% Down Amortization'!$A300,360,'With Loan'!$D$40,0,0)</f>
        <v>238.23999418939704</v>
      </c>
      <c r="D300" s="4">
        <f t="shared" si="9"/>
        <v>1316.1420931565769</v>
      </c>
      <c r="E300" s="3">
        <f t="shared" si="10"/>
        <v>75158.896041640051</v>
      </c>
    </row>
    <row r="301" spans="1:5">
      <c r="A301">
        <v>298</v>
      </c>
      <c r="B301" s="4">
        <f>-PPMT('With Loan'!$D$41/12,'30% Down Amortization'!$A301,360,'With Loan'!$D$40,0,0)</f>
        <v>1081.2705430264523</v>
      </c>
      <c r="C301" s="4">
        <f>-IPMT('With Loan'!$D$41/12,'30% Down Amortization'!$A301,360,'With Loan'!$D$40,0,0)</f>
        <v>234.8715501301246</v>
      </c>
      <c r="D301" s="4">
        <f t="shared" si="9"/>
        <v>1316.1420931565769</v>
      </c>
      <c r="E301" s="3">
        <f t="shared" si="10"/>
        <v>74077.625498613605</v>
      </c>
    </row>
    <row r="302" spans="1:5">
      <c r="A302">
        <v>299</v>
      </c>
      <c r="B302" s="4">
        <f>-PPMT('With Loan'!$D$41/12,'30% Down Amortization'!$A302,360,'With Loan'!$D$40,0,0)</f>
        <v>1084.64951347341</v>
      </c>
      <c r="C302" s="4">
        <f>-IPMT('With Loan'!$D$41/12,'30% Down Amortization'!$A302,360,'With Loan'!$D$40,0,0)</f>
        <v>231.49257968316695</v>
      </c>
      <c r="D302" s="4">
        <f t="shared" si="9"/>
        <v>1316.1420931565769</v>
      </c>
      <c r="E302" s="3">
        <f t="shared" si="10"/>
        <v>72992.97598514019</v>
      </c>
    </row>
    <row r="303" spans="1:5">
      <c r="A303">
        <v>300</v>
      </c>
      <c r="B303" s="4">
        <f>-PPMT('With Loan'!$D$41/12,'30% Down Amortization'!$A303,360,'With Loan'!$D$40,0,0)</f>
        <v>1088.0390432030144</v>
      </c>
      <c r="C303" s="4">
        <f>-IPMT('With Loan'!$D$41/12,'30% Down Amortization'!$A303,360,'With Loan'!$D$40,0,0)</f>
        <v>228.10304995356248</v>
      </c>
      <c r="D303" s="4">
        <f t="shared" si="9"/>
        <v>1316.1420931565769</v>
      </c>
      <c r="E303" s="3">
        <f t="shared" si="10"/>
        <v>71904.93694193718</v>
      </c>
    </row>
    <row r="304" spans="1:5">
      <c r="A304">
        <v>301</v>
      </c>
      <c r="B304" s="4">
        <f>-PPMT('With Loan'!$D$41/12,'30% Down Amortization'!$A304,360,'With Loan'!$D$40,0,0)</f>
        <v>1091.4391652130239</v>
      </c>
      <c r="C304" s="4">
        <f>-IPMT('With Loan'!$D$41/12,'30% Down Amortization'!$A304,360,'With Loan'!$D$40,0,0)</f>
        <v>224.70292794355314</v>
      </c>
      <c r="D304" s="4">
        <f t="shared" si="9"/>
        <v>1316.1420931565769</v>
      </c>
      <c r="E304" s="3">
        <f t="shared" si="10"/>
        <v>70813.497776724151</v>
      </c>
    </row>
    <row r="305" spans="1:5">
      <c r="A305">
        <v>302</v>
      </c>
      <c r="B305" s="4">
        <f>-PPMT('With Loan'!$D$41/12,'30% Down Amortization'!$A305,360,'With Loan'!$D$40,0,0)</f>
        <v>1094.8499126043146</v>
      </c>
      <c r="C305" s="4">
        <f>-IPMT('With Loan'!$D$41/12,'30% Down Amortization'!$A305,360,'With Loan'!$D$40,0,0)</f>
        <v>221.29218055226247</v>
      </c>
      <c r="D305" s="4">
        <f t="shared" si="9"/>
        <v>1316.1420931565769</v>
      </c>
      <c r="E305" s="3">
        <f t="shared" si="10"/>
        <v>69718.647864119834</v>
      </c>
    </row>
    <row r="306" spans="1:5">
      <c r="A306">
        <v>303</v>
      </c>
      <c r="B306" s="4">
        <f>-PPMT('With Loan'!$D$41/12,'30% Down Amortization'!$A306,360,'With Loan'!$D$40,0,0)</f>
        <v>1098.2713185812031</v>
      </c>
      <c r="C306" s="4">
        <f>-IPMT('With Loan'!$D$41/12,'30% Down Amortization'!$A306,360,'With Loan'!$D$40,0,0)</f>
        <v>217.87077457537396</v>
      </c>
      <c r="D306" s="4">
        <f t="shared" si="9"/>
        <v>1316.1420931565772</v>
      </c>
      <c r="E306" s="3">
        <f t="shared" si="10"/>
        <v>68620.376545538631</v>
      </c>
    </row>
    <row r="307" spans="1:5">
      <c r="A307">
        <v>304</v>
      </c>
      <c r="B307" s="4">
        <f>-PPMT('With Loan'!$D$41/12,'30% Down Amortization'!$A307,360,'With Loan'!$D$40,0,0)</f>
        <v>1101.7034164517695</v>
      </c>
      <c r="C307" s="4">
        <f>-IPMT('With Loan'!$D$41/12,'30% Down Amortization'!$A307,360,'With Loan'!$D$40,0,0)</f>
        <v>214.4386767048077</v>
      </c>
      <c r="D307" s="4">
        <f t="shared" si="9"/>
        <v>1316.1420931565772</v>
      </c>
      <c r="E307" s="3">
        <f t="shared" si="10"/>
        <v>67518.673129086863</v>
      </c>
    </row>
    <row r="308" spans="1:5">
      <c r="A308">
        <v>305</v>
      </c>
      <c r="B308" s="4">
        <f>-PPMT('With Loan'!$D$41/12,'30% Down Amortization'!$A308,360,'With Loan'!$D$40,0,0)</f>
        <v>1105.1462396281813</v>
      </c>
      <c r="C308" s="4">
        <f>-IPMT('With Loan'!$D$41/12,'30% Down Amortization'!$A308,360,'With Loan'!$D$40,0,0)</f>
        <v>210.99585352839594</v>
      </c>
      <c r="D308" s="4">
        <f t="shared" si="9"/>
        <v>1316.1420931565772</v>
      </c>
      <c r="E308" s="3">
        <f t="shared" si="10"/>
        <v>66413.526889458677</v>
      </c>
    </row>
    <row r="309" spans="1:5">
      <c r="A309">
        <v>306</v>
      </c>
      <c r="B309" s="4">
        <f>-PPMT('With Loan'!$D$41/12,'30% Down Amortization'!$A309,360,'With Loan'!$D$40,0,0)</f>
        <v>1108.5998216270191</v>
      </c>
      <c r="C309" s="4">
        <f>-IPMT('With Loan'!$D$41/12,'30% Down Amortization'!$A309,360,'With Loan'!$D$40,0,0)</f>
        <v>207.54227152955789</v>
      </c>
      <c r="D309" s="4">
        <f t="shared" si="9"/>
        <v>1316.1420931565769</v>
      </c>
      <c r="E309" s="3">
        <f t="shared" si="10"/>
        <v>65304.927067831661</v>
      </c>
    </row>
    <row r="310" spans="1:5">
      <c r="A310">
        <v>307</v>
      </c>
      <c r="B310" s="4">
        <f>-PPMT('With Loan'!$D$41/12,'30% Down Amortization'!$A310,360,'With Loan'!$D$40,0,0)</f>
        <v>1112.0641960696037</v>
      </c>
      <c r="C310" s="4">
        <f>-IPMT('With Loan'!$D$41/12,'30% Down Amortization'!$A310,360,'With Loan'!$D$40,0,0)</f>
        <v>204.07789708697339</v>
      </c>
      <c r="D310" s="4">
        <f t="shared" si="9"/>
        <v>1316.1420931565772</v>
      </c>
      <c r="E310" s="3">
        <f t="shared" si="10"/>
        <v>64192.86287176206</v>
      </c>
    </row>
    <row r="311" spans="1:5">
      <c r="A311">
        <v>308</v>
      </c>
      <c r="B311" s="4">
        <f>-PPMT('With Loan'!$D$41/12,'30% Down Amortization'!$A311,360,'With Loan'!$D$40,0,0)</f>
        <v>1115.5393966823212</v>
      </c>
      <c r="C311" s="4">
        <f>-IPMT('With Loan'!$D$41/12,'30% Down Amortization'!$A311,360,'With Loan'!$D$40,0,0)</f>
        <v>200.60269647425591</v>
      </c>
      <c r="D311" s="4">
        <f t="shared" si="9"/>
        <v>1316.1420931565772</v>
      </c>
      <c r="E311" s="3">
        <f t="shared" si="10"/>
        <v>63077.323475079742</v>
      </c>
    </row>
    <row r="312" spans="1:5">
      <c r="A312">
        <v>309</v>
      </c>
      <c r="B312" s="4">
        <f>-PPMT('With Loan'!$D$41/12,'30% Down Amortization'!$A312,360,'With Loan'!$D$40,0,0)</f>
        <v>1119.0254572969534</v>
      </c>
      <c r="C312" s="4">
        <f>-IPMT('With Loan'!$D$41/12,'30% Down Amortization'!$A312,360,'With Loan'!$D$40,0,0)</f>
        <v>197.11663585962364</v>
      </c>
      <c r="D312" s="4">
        <f t="shared" si="9"/>
        <v>1316.1420931565769</v>
      </c>
      <c r="E312" s="3">
        <f t="shared" si="10"/>
        <v>61958.298017782785</v>
      </c>
    </row>
    <row r="313" spans="1:5">
      <c r="A313">
        <v>310</v>
      </c>
      <c r="B313" s="4">
        <f>-PPMT('With Loan'!$D$41/12,'30% Down Amortization'!$A313,360,'With Loan'!$D$40,0,0)</f>
        <v>1122.5224118510064</v>
      </c>
      <c r="C313" s="4">
        <f>-IPMT('With Loan'!$D$41/12,'30% Down Amortization'!$A313,360,'With Loan'!$D$40,0,0)</f>
        <v>193.61968130557065</v>
      </c>
      <c r="D313" s="4">
        <f t="shared" si="9"/>
        <v>1316.1420931565769</v>
      </c>
      <c r="E313" s="3">
        <f t="shared" si="10"/>
        <v>60835.775605931776</v>
      </c>
    </row>
    <row r="314" spans="1:5">
      <c r="A314">
        <v>311</v>
      </c>
      <c r="B314" s="4">
        <f>-PPMT('With Loan'!$D$41/12,'30% Down Amortization'!$A314,360,'With Loan'!$D$40,0,0)</f>
        <v>1126.0302943880406</v>
      </c>
      <c r="C314" s="4">
        <f>-IPMT('With Loan'!$D$41/12,'30% Down Amortization'!$A314,360,'With Loan'!$D$40,0,0)</f>
        <v>190.11179876853623</v>
      </c>
      <c r="D314" s="4">
        <f t="shared" si="9"/>
        <v>1316.1420931565767</v>
      </c>
      <c r="E314" s="3">
        <f t="shared" si="10"/>
        <v>59709.745311543738</v>
      </c>
    </row>
    <row r="315" spans="1:5">
      <c r="A315">
        <v>312</v>
      </c>
      <c r="B315" s="4">
        <f>-PPMT('With Loan'!$D$41/12,'30% Down Amortization'!$A315,360,'With Loan'!$D$40,0,0)</f>
        <v>1129.5491390580034</v>
      </c>
      <c r="C315" s="4">
        <f>-IPMT('With Loan'!$D$41/12,'30% Down Amortization'!$A315,360,'With Loan'!$D$40,0,0)</f>
        <v>186.59295409857361</v>
      </c>
      <c r="D315" s="4">
        <f t="shared" si="9"/>
        <v>1316.1420931565772</v>
      </c>
      <c r="E315" s="3">
        <f t="shared" si="10"/>
        <v>58580.196172485732</v>
      </c>
    </row>
    <row r="316" spans="1:5">
      <c r="A316">
        <v>313</v>
      </c>
      <c r="B316" s="4">
        <f>-PPMT('With Loan'!$D$41/12,'30% Down Amortization'!$A316,360,'With Loan'!$D$40,0,0)</f>
        <v>1133.0789801175597</v>
      </c>
      <c r="C316" s="4">
        <f>-IPMT('With Loan'!$D$41/12,'30% Down Amortization'!$A316,360,'With Loan'!$D$40,0,0)</f>
        <v>183.06311303901737</v>
      </c>
      <c r="D316" s="4">
        <f t="shared" si="9"/>
        <v>1316.1420931565772</v>
      </c>
      <c r="E316" s="3">
        <f t="shared" si="10"/>
        <v>57447.117192368169</v>
      </c>
    </row>
    <row r="317" spans="1:5">
      <c r="A317">
        <v>314</v>
      </c>
      <c r="B317" s="4">
        <f>-PPMT('With Loan'!$D$41/12,'30% Down Amortization'!$A317,360,'With Loan'!$D$40,0,0)</f>
        <v>1136.6198519304271</v>
      </c>
      <c r="C317" s="4">
        <f>-IPMT('With Loan'!$D$41/12,'30% Down Amortization'!$A317,360,'With Loan'!$D$40,0,0)</f>
        <v>179.52224122614999</v>
      </c>
      <c r="D317" s="4">
        <f t="shared" si="9"/>
        <v>1316.1420931565772</v>
      </c>
      <c r="E317" s="3">
        <f t="shared" si="10"/>
        <v>56310.497340437738</v>
      </c>
    </row>
    <row r="318" spans="1:5">
      <c r="A318">
        <v>315</v>
      </c>
      <c r="B318" s="4">
        <f>-PPMT('With Loan'!$D$41/12,'30% Down Amortization'!$A318,360,'With Loan'!$D$40,0,0)</f>
        <v>1140.1717889677097</v>
      </c>
      <c r="C318" s="4">
        <f>-IPMT('With Loan'!$D$41/12,'30% Down Amortization'!$A318,360,'With Loan'!$D$40,0,0)</f>
        <v>175.97030418886743</v>
      </c>
      <c r="D318" s="4">
        <f t="shared" si="9"/>
        <v>1316.1420931565772</v>
      </c>
      <c r="E318" s="3">
        <f t="shared" si="10"/>
        <v>55170.325551470029</v>
      </c>
    </row>
    <row r="319" spans="1:5">
      <c r="A319">
        <v>316</v>
      </c>
      <c r="B319" s="4">
        <f>-PPMT('With Loan'!$D$41/12,'30% Down Amortization'!$A319,360,'With Loan'!$D$40,0,0)</f>
        <v>1143.7348258082338</v>
      </c>
      <c r="C319" s="4">
        <f>-IPMT('With Loan'!$D$41/12,'30% Down Amortization'!$A319,360,'With Loan'!$D$40,0,0)</f>
        <v>172.40726734834331</v>
      </c>
      <c r="D319" s="4">
        <f t="shared" si="9"/>
        <v>1316.1420931565772</v>
      </c>
      <c r="E319" s="3">
        <f t="shared" si="10"/>
        <v>54026.590725661794</v>
      </c>
    </row>
    <row r="320" spans="1:5">
      <c r="A320">
        <v>317</v>
      </c>
      <c r="B320" s="4">
        <f>-PPMT('With Loan'!$D$41/12,'30% Down Amortization'!$A320,360,'With Loan'!$D$40,0,0)</f>
        <v>1147.3089971388845</v>
      </c>
      <c r="C320" s="4">
        <f>-IPMT('With Loan'!$D$41/12,'30% Down Amortization'!$A320,360,'With Loan'!$D$40,0,0)</f>
        <v>168.83309601769261</v>
      </c>
      <c r="D320" s="4">
        <f t="shared" si="9"/>
        <v>1316.1420931565772</v>
      </c>
      <c r="E320" s="3">
        <f t="shared" si="10"/>
        <v>52879.28172852291</v>
      </c>
    </row>
    <row r="321" spans="1:5">
      <c r="A321">
        <v>318</v>
      </c>
      <c r="B321" s="4">
        <f>-PPMT('With Loan'!$D$41/12,'30% Down Amortization'!$A321,360,'With Loan'!$D$40,0,0)</f>
        <v>1150.8943377549435</v>
      </c>
      <c r="C321" s="4">
        <f>-IPMT('With Loan'!$D$41/12,'30% Down Amortization'!$A321,360,'With Loan'!$D$40,0,0)</f>
        <v>165.24775540163355</v>
      </c>
      <c r="D321" s="4">
        <f t="shared" si="9"/>
        <v>1316.1420931565772</v>
      </c>
      <c r="E321" s="3">
        <f t="shared" si="10"/>
        <v>51728.387390767966</v>
      </c>
    </row>
    <row r="322" spans="1:5">
      <c r="A322">
        <v>319</v>
      </c>
      <c r="B322" s="4">
        <f>-PPMT('With Loan'!$D$41/12,'30% Down Amortization'!$A322,360,'With Loan'!$D$40,0,0)</f>
        <v>1154.4908825604277</v>
      </c>
      <c r="C322" s="4">
        <f>-IPMT('With Loan'!$D$41/12,'30% Down Amortization'!$A322,360,'With Loan'!$D$40,0,0)</f>
        <v>161.65121059614938</v>
      </c>
      <c r="D322" s="4">
        <f t="shared" si="9"/>
        <v>1316.1420931565772</v>
      </c>
      <c r="E322" s="3">
        <f t="shared" si="10"/>
        <v>50573.896508207537</v>
      </c>
    </row>
    <row r="323" spans="1:5">
      <c r="A323">
        <v>320</v>
      </c>
      <c r="B323" s="4">
        <f>-PPMT('With Loan'!$D$41/12,'30% Down Amortization'!$A323,360,'With Loan'!$D$40,0,0)</f>
        <v>1158.0986665684291</v>
      </c>
      <c r="C323" s="4">
        <f>-IPMT('With Loan'!$D$41/12,'30% Down Amortization'!$A323,360,'With Loan'!$D$40,0,0)</f>
        <v>158.04342658814807</v>
      </c>
      <c r="D323" s="4">
        <f t="shared" si="9"/>
        <v>1316.1420931565772</v>
      </c>
      <c r="E323" s="3">
        <f t="shared" si="10"/>
        <v>49415.797841639105</v>
      </c>
    </row>
    <row r="324" spans="1:5">
      <c r="A324">
        <v>321</v>
      </c>
      <c r="B324" s="4">
        <f>-PPMT('With Loan'!$D$41/12,'30% Down Amortization'!$A324,360,'With Loan'!$D$40,0,0)</f>
        <v>1161.7177249014553</v>
      </c>
      <c r="C324" s="4">
        <f>-IPMT('With Loan'!$D$41/12,'30% Down Amortization'!$A324,360,'With Loan'!$D$40,0,0)</f>
        <v>154.42436825512172</v>
      </c>
      <c r="D324" s="4">
        <f t="shared" si="9"/>
        <v>1316.1420931565769</v>
      </c>
      <c r="E324" s="3">
        <f t="shared" si="10"/>
        <v>48254.080116737648</v>
      </c>
    </row>
    <row r="325" spans="1:5">
      <c r="A325">
        <v>322</v>
      </c>
      <c r="B325" s="4">
        <f>-PPMT('With Loan'!$D$41/12,'30% Down Amortization'!$A325,360,'With Loan'!$D$40,0,0)</f>
        <v>1165.3480927917724</v>
      </c>
      <c r="C325" s="4">
        <f>-IPMT('With Loan'!$D$41/12,'30% Down Amortization'!$A325,360,'With Loan'!$D$40,0,0)</f>
        <v>150.79400036480467</v>
      </c>
      <c r="D325" s="4">
        <f t="shared" ref="D325:D363" si="11">B325+C325</f>
        <v>1316.1420931565772</v>
      </c>
      <c r="E325" s="3">
        <f t="shared" si="10"/>
        <v>47088.732023945879</v>
      </c>
    </row>
    <row r="326" spans="1:5">
      <c r="A326">
        <v>323</v>
      </c>
      <c r="B326" s="4">
        <f>-PPMT('With Loan'!$D$41/12,'30% Down Amortization'!$A326,360,'With Loan'!$D$40,0,0)</f>
        <v>1168.9898055817466</v>
      </c>
      <c r="C326" s="4">
        <f>-IPMT('With Loan'!$D$41/12,'30% Down Amortization'!$A326,360,'With Loan'!$D$40,0,0)</f>
        <v>147.15228757483035</v>
      </c>
      <c r="D326" s="4">
        <f t="shared" si="11"/>
        <v>1316.1420931565769</v>
      </c>
      <c r="E326" s="3">
        <f t="shared" si="10"/>
        <v>45919.742218364132</v>
      </c>
    </row>
    <row r="327" spans="1:5">
      <c r="A327">
        <v>324</v>
      </c>
      <c r="B327" s="4">
        <f>-PPMT('With Loan'!$D$41/12,'30% Down Amortization'!$A327,360,'With Loan'!$D$40,0,0)</f>
        <v>1172.6428987241898</v>
      </c>
      <c r="C327" s="4">
        <f>-IPMT('With Loan'!$D$41/12,'30% Down Amortization'!$A327,360,'With Loan'!$D$40,0,0)</f>
        <v>143.49919443238741</v>
      </c>
      <c r="D327" s="4">
        <f t="shared" si="11"/>
        <v>1316.1420931565772</v>
      </c>
      <c r="E327" s="3">
        <f t="shared" si="10"/>
        <v>44747.099319639943</v>
      </c>
    </row>
    <row r="328" spans="1:5">
      <c r="A328">
        <v>325</v>
      </c>
      <c r="B328" s="4">
        <f>-PPMT('With Loan'!$D$41/12,'30% Down Amortization'!$A328,360,'With Loan'!$D$40,0,0)</f>
        <v>1176.3074077827027</v>
      </c>
      <c r="C328" s="4">
        <f>-IPMT('With Loan'!$D$41/12,'30% Down Amortization'!$A328,360,'With Loan'!$D$40,0,0)</f>
        <v>139.83468537387432</v>
      </c>
      <c r="D328" s="4">
        <f t="shared" si="11"/>
        <v>1316.1420931565772</v>
      </c>
      <c r="E328" s="3">
        <f t="shared" si="10"/>
        <v>43570.791911857239</v>
      </c>
    </row>
    <row r="329" spans="1:5">
      <c r="A329">
        <v>326</v>
      </c>
      <c r="B329" s="4">
        <f>-PPMT('With Loan'!$D$41/12,'30% Down Amortization'!$A329,360,'With Loan'!$D$40,0,0)</f>
        <v>1179.9833684320238</v>
      </c>
      <c r="C329" s="4">
        <f>-IPMT('With Loan'!$D$41/12,'30% Down Amortization'!$A329,360,'With Loan'!$D$40,0,0)</f>
        <v>136.15872472455337</v>
      </c>
      <c r="D329" s="4">
        <f t="shared" si="11"/>
        <v>1316.1420931565772</v>
      </c>
      <c r="E329" s="3">
        <f t="shared" si="10"/>
        <v>42390.808543425213</v>
      </c>
    </row>
    <row r="330" spans="1:5">
      <c r="A330">
        <v>327</v>
      </c>
      <c r="B330" s="4">
        <f>-PPMT('With Loan'!$D$41/12,'30% Down Amortization'!$A330,360,'With Loan'!$D$40,0,0)</f>
        <v>1183.6708164583738</v>
      </c>
      <c r="C330" s="4">
        <f>-IPMT('With Loan'!$D$41/12,'30% Down Amortization'!$A330,360,'With Loan'!$D$40,0,0)</f>
        <v>132.47127669820327</v>
      </c>
      <c r="D330" s="4">
        <f t="shared" si="11"/>
        <v>1316.1420931565772</v>
      </c>
      <c r="E330" s="3">
        <f t="shared" si="10"/>
        <v>41207.137726966837</v>
      </c>
    </row>
    <row r="331" spans="1:5">
      <c r="A331">
        <v>328</v>
      </c>
      <c r="B331" s="4">
        <f>-PPMT('With Loan'!$D$41/12,'30% Down Amortization'!$A331,360,'With Loan'!$D$40,0,0)</f>
        <v>1187.3697877598061</v>
      </c>
      <c r="C331" s="4">
        <f>-IPMT('With Loan'!$D$41/12,'30% Down Amortization'!$A331,360,'With Loan'!$D$40,0,0)</f>
        <v>128.77230539677089</v>
      </c>
      <c r="D331" s="4">
        <f t="shared" si="11"/>
        <v>1316.1420931565769</v>
      </c>
      <c r="E331" s="3">
        <f t="shared" si="10"/>
        <v>40019.767939207028</v>
      </c>
    </row>
    <row r="332" spans="1:5">
      <c r="A332">
        <v>329</v>
      </c>
      <c r="B332" s="4">
        <f>-PPMT('With Loan'!$D$41/12,'30% Down Amortization'!$A332,360,'With Loan'!$D$40,0,0)</f>
        <v>1191.0803183465557</v>
      </c>
      <c r="C332" s="4">
        <f>-IPMT('With Loan'!$D$41/12,'30% Down Amortization'!$A332,360,'With Loan'!$D$40,0,0)</f>
        <v>125.06177481002148</v>
      </c>
      <c r="D332" s="4">
        <f t="shared" si="11"/>
        <v>1316.1420931565772</v>
      </c>
      <c r="E332" s="3">
        <f t="shared" si="10"/>
        <v>38828.687620860474</v>
      </c>
    </row>
    <row r="333" spans="1:5">
      <c r="A333">
        <v>330</v>
      </c>
      <c r="B333" s="4">
        <f>-PPMT('With Loan'!$D$41/12,'30% Down Amortization'!$A333,360,'With Loan'!$D$40,0,0)</f>
        <v>1194.8024443413885</v>
      </c>
      <c r="C333" s="4">
        <f>-IPMT('With Loan'!$D$41/12,'30% Down Amortization'!$A333,360,'With Loan'!$D$40,0,0)</f>
        <v>121.3396488151885</v>
      </c>
      <c r="D333" s="4">
        <f t="shared" si="11"/>
        <v>1316.1420931565769</v>
      </c>
      <c r="E333" s="3">
        <f t="shared" si="10"/>
        <v>37633.885176519085</v>
      </c>
    </row>
    <row r="334" spans="1:5">
      <c r="A334">
        <v>331</v>
      </c>
      <c r="B334" s="4">
        <f>-PPMT('With Loan'!$D$41/12,'30% Down Amortization'!$A334,360,'With Loan'!$D$40,0,0)</f>
        <v>1198.5362019799554</v>
      </c>
      <c r="C334" s="4">
        <f>-IPMT('With Loan'!$D$41/12,'30% Down Amortization'!$A334,360,'With Loan'!$D$40,0,0)</f>
        <v>117.60589117662168</v>
      </c>
      <c r="D334" s="4">
        <f t="shared" si="11"/>
        <v>1316.1420931565772</v>
      </c>
      <c r="E334" s="3">
        <f t="shared" si="10"/>
        <v>36435.348974539127</v>
      </c>
    </row>
    <row r="335" spans="1:5">
      <c r="A335">
        <v>332</v>
      </c>
      <c r="B335" s="4">
        <f>-PPMT('With Loan'!$D$41/12,'30% Down Amortization'!$A335,360,'With Loan'!$D$40,0,0)</f>
        <v>1202.2816276111428</v>
      </c>
      <c r="C335" s="4">
        <f>-IPMT('With Loan'!$D$41/12,'30% Down Amortization'!$A335,360,'With Loan'!$D$40,0,0)</f>
        <v>113.86046554543428</v>
      </c>
      <c r="D335" s="4">
        <f t="shared" si="11"/>
        <v>1316.1420931565769</v>
      </c>
      <c r="E335" s="3">
        <f t="shared" si="10"/>
        <v>35233.067346927986</v>
      </c>
    </row>
    <row r="336" spans="1:5">
      <c r="A336">
        <v>333</v>
      </c>
      <c r="B336" s="4">
        <f>-PPMT('With Loan'!$D$41/12,'30% Down Amortization'!$A336,360,'With Loan'!$D$40,0,0)</f>
        <v>1206.0387576974276</v>
      </c>
      <c r="C336" s="4">
        <f>-IPMT('With Loan'!$D$41/12,'30% Down Amortization'!$A336,360,'With Loan'!$D$40,0,0)</f>
        <v>110.10333545914948</v>
      </c>
      <c r="D336" s="4">
        <f t="shared" si="11"/>
        <v>1316.1420931565772</v>
      </c>
      <c r="E336" s="3">
        <f t="shared" si="10"/>
        <v>34027.028589230562</v>
      </c>
    </row>
    <row r="337" spans="1:5">
      <c r="A337">
        <v>334</v>
      </c>
      <c r="B337" s="4">
        <f>-PPMT('With Loan'!$D$41/12,'30% Down Amortization'!$A337,360,'With Loan'!$D$40,0,0)</f>
        <v>1209.807628815232</v>
      </c>
      <c r="C337" s="4">
        <f>-IPMT('With Loan'!$D$41/12,'30% Down Amortization'!$A337,360,'With Loan'!$D$40,0,0)</f>
        <v>106.33446434134503</v>
      </c>
      <c r="D337" s="4">
        <f t="shared" si="11"/>
        <v>1316.1420931565769</v>
      </c>
      <c r="E337" s="3">
        <f t="shared" si="10"/>
        <v>32817.220960415332</v>
      </c>
    </row>
    <row r="338" spans="1:5">
      <c r="A338">
        <v>335</v>
      </c>
      <c r="B338" s="4">
        <f>-PPMT('With Loan'!$D$41/12,'30% Down Amortization'!$A338,360,'With Loan'!$D$40,0,0)</f>
        <v>1213.5882776552796</v>
      </c>
      <c r="C338" s="4">
        <f>-IPMT('With Loan'!$D$41/12,'30% Down Amortization'!$A338,360,'With Loan'!$D$40,0,0)</f>
        <v>102.55381550129742</v>
      </c>
      <c r="D338" s="4">
        <f t="shared" si="11"/>
        <v>1316.1420931565769</v>
      </c>
      <c r="E338" s="3">
        <f t="shared" si="10"/>
        <v>31603.632682760053</v>
      </c>
    </row>
    <row r="339" spans="1:5">
      <c r="A339">
        <v>336</v>
      </c>
      <c r="B339" s="4">
        <f>-PPMT('With Loan'!$D$41/12,'30% Down Amortization'!$A339,360,'With Loan'!$D$40,0,0)</f>
        <v>1217.3807410229524</v>
      </c>
      <c r="C339" s="4">
        <f>-IPMT('With Loan'!$D$41/12,'30% Down Amortization'!$A339,360,'With Loan'!$D$40,0,0)</f>
        <v>98.761352133624655</v>
      </c>
      <c r="D339" s="4">
        <f t="shared" si="11"/>
        <v>1316.1420931565772</v>
      </c>
      <c r="E339" s="3">
        <f t="shared" si="10"/>
        <v>30386.2519417371</v>
      </c>
    </row>
    <row r="340" spans="1:5">
      <c r="A340">
        <v>337</v>
      </c>
      <c r="B340" s="4">
        <f>-PPMT('With Loan'!$D$41/12,'30% Down Amortization'!$A340,360,'With Loan'!$D$40,0,0)</f>
        <v>1221.1850558386491</v>
      </c>
      <c r="C340" s="4">
        <f>-IPMT('With Loan'!$D$41/12,'30% Down Amortization'!$A340,360,'With Loan'!$D$40,0,0)</f>
        <v>94.957037317927927</v>
      </c>
      <c r="D340" s="4">
        <f t="shared" si="11"/>
        <v>1316.1420931565769</v>
      </c>
      <c r="E340" s="3">
        <f t="shared" si="10"/>
        <v>29165.06688589845</v>
      </c>
    </row>
    <row r="341" spans="1:5">
      <c r="A341">
        <v>338</v>
      </c>
      <c r="B341" s="4">
        <f>-PPMT('With Loan'!$D$41/12,'30% Down Amortization'!$A341,360,'With Loan'!$D$40,0,0)</f>
        <v>1225.0012591381449</v>
      </c>
      <c r="C341" s="4">
        <f>-IPMT('With Loan'!$D$41/12,'30% Down Amortization'!$A341,360,'With Loan'!$D$40,0,0)</f>
        <v>91.140834018432159</v>
      </c>
      <c r="D341" s="4">
        <f t="shared" si="11"/>
        <v>1316.1420931565769</v>
      </c>
      <c r="E341" s="3">
        <f t="shared" si="10"/>
        <v>27940.065626760304</v>
      </c>
    </row>
    <row r="342" spans="1:5">
      <c r="A342">
        <v>339</v>
      </c>
      <c r="B342" s="4">
        <f>-PPMT('With Loan'!$D$41/12,'30% Down Amortization'!$A342,360,'With Loan'!$D$40,0,0)</f>
        <v>1228.8293880729516</v>
      </c>
      <c r="C342" s="4">
        <f>-IPMT('With Loan'!$D$41/12,'30% Down Amortization'!$A342,360,'With Loan'!$D$40,0,0)</f>
        <v>87.31270508362546</v>
      </c>
      <c r="D342" s="4">
        <f t="shared" si="11"/>
        <v>1316.1420931565769</v>
      </c>
      <c r="E342" s="3">
        <f t="shared" si="10"/>
        <v>26711.236238687354</v>
      </c>
    </row>
    <row r="343" spans="1:5">
      <c r="A343">
        <v>340</v>
      </c>
      <c r="B343" s="4">
        <f>-PPMT('With Loan'!$D$41/12,'30% Down Amortization'!$A343,360,'With Loan'!$D$40,0,0)</f>
        <v>1232.6694799106797</v>
      </c>
      <c r="C343" s="4">
        <f>-IPMT('With Loan'!$D$41/12,'30% Down Amortization'!$A343,360,'With Loan'!$D$40,0,0)</f>
        <v>83.472613245897492</v>
      </c>
      <c r="D343" s="4">
        <f t="shared" si="11"/>
        <v>1316.1420931565772</v>
      </c>
      <c r="E343" s="3">
        <f t="shared" si="10"/>
        <v>25478.566758776673</v>
      </c>
    </row>
    <row r="344" spans="1:5">
      <c r="A344">
        <v>341</v>
      </c>
      <c r="B344" s="4">
        <f>-PPMT('With Loan'!$D$41/12,'30% Down Amortization'!$A344,360,'With Loan'!$D$40,0,0)</f>
        <v>1236.5215720354006</v>
      </c>
      <c r="C344" s="4">
        <f>-IPMT('With Loan'!$D$41/12,'30% Down Amortization'!$A344,360,'With Loan'!$D$40,0,0)</f>
        <v>79.620521121176608</v>
      </c>
      <c r="D344" s="4">
        <f t="shared" si="11"/>
        <v>1316.1420931565772</v>
      </c>
      <c r="E344" s="3">
        <f t="shared" si="10"/>
        <v>24242.045186741274</v>
      </c>
    </row>
    <row r="345" spans="1:5">
      <c r="A345">
        <v>342</v>
      </c>
      <c r="B345" s="4">
        <f>-PPMT('With Loan'!$D$41/12,'30% Down Amortization'!$A345,360,'With Loan'!$D$40,0,0)</f>
        <v>1240.385701948011</v>
      </c>
      <c r="C345" s="4">
        <f>-IPMT('With Loan'!$D$41/12,'30% Down Amortization'!$A345,360,'With Loan'!$D$40,0,0)</f>
        <v>75.756391208565987</v>
      </c>
      <c r="D345" s="4">
        <f t="shared" si="11"/>
        <v>1316.1420931565769</v>
      </c>
      <c r="E345" s="3">
        <f t="shared" si="10"/>
        <v>23001.659484793265</v>
      </c>
    </row>
    <row r="346" spans="1:5">
      <c r="A346">
        <v>343</v>
      </c>
      <c r="B346" s="4">
        <f>-PPMT('With Loan'!$D$41/12,'30% Down Amortization'!$A346,360,'With Loan'!$D$40,0,0)</f>
        <v>1244.2619072665987</v>
      </c>
      <c r="C346" s="4">
        <f>-IPMT('With Loan'!$D$41/12,'30% Down Amortization'!$A346,360,'With Loan'!$D$40,0,0)</f>
        <v>71.880185889978463</v>
      </c>
      <c r="D346" s="4">
        <f t="shared" si="11"/>
        <v>1316.1420931565772</v>
      </c>
      <c r="E346" s="3">
        <f t="shared" si="10"/>
        <v>21757.397577526666</v>
      </c>
    </row>
    <row r="347" spans="1:5">
      <c r="A347">
        <v>344</v>
      </c>
      <c r="B347" s="4">
        <f>-PPMT('With Loan'!$D$41/12,'30% Down Amortization'!$A347,360,'With Loan'!$D$40,0,0)</f>
        <v>1248.1502257268069</v>
      </c>
      <c r="C347" s="4">
        <f>-IPMT('With Loan'!$D$41/12,'30% Down Amortization'!$A347,360,'With Loan'!$D$40,0,0)</f>
        <v>67.991867429770323</v>
      </c>
      <c r="D347" s="4">
        <f t="shared" si="11"/>
        <v>1316.1420931565772</v>
      </c>
      <c r="E347" s="3">
        <f t="shared" si="10"/>
        <v>20509.247351799859</v>
      </c>
    </row>
    <row r="348" spans="1:5">
      <c r="A348">
        <v>345</v>
      </c>
      <c r="B348" s="4">
        <f>-PPMT('With Loan'!$D$41/12,'30% Down Amortization'!$A348,360,'With Loan'!$D$40,0,0)</f>
        <v>1252.0506951822028</v>
      </c>
      <c r="C348" s="4">
        <f>-IPMT('With Loan'!$D$41/12,'30% Down Amortization'!$A348,360,'With Loan'!$D$40,0,0)</f>
        <v>64.091397974374047</v>
      </c>
      <c r="D348" s="4">
        <f t="shared" si="11"/>
        <v>1316.1420931565769</v>
      </c>
      <c r="E348" s="3">
        <f t="shared" si="10"/>
        <v>19257.196656617656</v>
      </c>
    </row>
    <row r="349" spans="1:5">
      <c r="A349">
        <v>346</v>
      </c>
      <c r="B349" s="4">
        <f>-PPMT('With Loan'!$D$41/12,'30% Down Amortization'!$A349,360,'With Loan'!$D$40,0,0)</f>
        <v>1255.9633536046474</v>
      </c>
      <c r="C349" s="4">
        <f>-IPMT('With Loan'!$D$41/12,'30% Down Amortization'!$A349,360,'With Loan'!$D$40,0,0)</f>
        <v>60.178739551929667</v>
      </c>
      <c r="D349" s="4">
        <f t="shared" si="11"/>
        <v>1316.1420931565772</v>
      </c>
      <c r="E349" s="3">
        <f t="shared" si="10"/>
        <v>18001.23330301301</v>
      </c>
    </row>
    <row r="350" spans="1:5">
      <c r="A350">
        <v>347</v>
      </c>
      <c r="B350" s="4">
        <f>-PPMT('With Loan'!$D$41/12,'30% Down Amortization'!$A350,360,'With Loan'!$D$40,0,0)</f>
        <v>1259.888239084662</v>
      </c>
      <c r="C350" s="4">
        <f>-IPMT('With Loan'!$D$41/12,'30% Down Amortization'!$A350,360,'With Loan'!$D$40,0,0)</f>
        <v>56.25385407191515</v>
      </c>
      <c r="D350" s="4">
        <f t="shared" si="11"/>
        <v>1316.1420931565772</v>
      </c>
      <c r="E350" s="3">
        <f t="shared" si="10"/>
        <v>16741.345063928347</v>
      </c>
    </row>
    <row r="351" spans="1:5">
      <c r="A351">
        <v>348</v>
      </c>
      <c r="B351" s="4">
        <f>-PPMT('With Loan'!$D$41/12,'30% Down Amortization'!$A351,360,'With Loan'!$D$40,0,0)</f>
        <v>1263.8253898318014</v>
      </c>
      <c r="C351" s="4">
        <f>-IPMT('With Loan'!$D$41/12,'30% Down Amortization'!$A351,360,'With Loan'!$D$40,0,0)</f>
        <v>52.316703324775595</v>
      </c>
      <c r="D351" s="4">
        <f t="shared" si="11"/>
        <v>1316.1420931565769</v>
      </c>
      <c r="E351" s="3">
        <f t="shared" si="10"/>
        <v>15477.519674096546</v>
      </c>
    </row>
    <row r="352" spans="1:5">
      <c r="A352">
        <v>349</v>
      </c>
      <c r="B352" s="4">
        <f>-PPMT('With Loan'!$D$41/12,'30% Down Amortization'!$A352,360,'With Loan'!$D$40,0,0)</f>
        <v>1267.7748441750259</v>
      </c>
      <c r="C352" s="4">
        <f>-IPMT('With Loan'!$D$41/12,'30% Down Amortization'!$A352,360,'With Loan'!$D$40,0,0)</f>
        <v>48.367248981551199</v>
      </c>
      <c r="D352" s="4">
        <f t="shared" si="11"/>
        <v>1316.1420931565772</v>
      </c>
      <c r="E352" s="3">
        <f t="shared" si="10"/>
        <v>14209.744829921519</v>
      </c>
    </row>
    <row r="353" spans="1:5">
      <c r="A353">
        <v>350</v>
      </c>
      <c r="B353" s="4">
        <f>-PPMT('With Loan'!$D$41/12,'30% Down Amortization'!$A353,360,'With Loan'!$D$40,0,0)</f>
        <v>1271.7366405630728</v>
      </c>
      <c r="C353" s="4">
        <f>-IPMT('With Loan'!$D$41/12,'30% Down Amortization'!$A353,360,'With Loan'!$D$40,0,0)</f>
        <v>44.405452593504258</v>
      </c>
      <c r="D353" s="4">
        <f t="shared" si="11"/>
        <v>1316.1420931565769</v>
      </c>
      <c r="E353" s="3">
        <f t="shared" si="10"/>
        <v>12938.008189358447</v>
      </c>
    </row>
    <row r="354" spans="1:5">
      <c r="A354">
        <v>351</v>
      </c>
      <c r="B354" s="4">
        <f>-PPMT('With Loan'!$D$41/12,'30% Down Amortization'!$A354,360,'With Loan'!$D$40,0,0)</f>
        <v>1275.7108175648325</v>
      </c>
      <c r="C354" s="4">
        <f>-IPMT('With Loan'!$D$41/12,'30% Down Amortization'!$A354,360,'With Loan'!$D$40,0,0)</f>
        <v>40.431275591744644</v>
      </c>
      <c r="D354" s="4">
        <f t="shared" si="11"/>
        <v>1316.1420931565772</v>
      </c>
      <c r="E354" s="3">
        <f t="shared" ref="E354:E363" si="12">E353-B354</f>
        <v>11662.297371793615</v>
      </c>
    </row>
    <row r="355" spans="1:5">
      <c r="A355">
        <v>352</v>
      </c>
      <c r="B355" s="4">
        <f>-PPMT('With Loan'!$D$41/12,'30% Down Amortization'!$A355,360,'With Loan'!$D$40,0,0)</f>
        <v>1279.6974138697226</v>
      </c>
      <c r="C355" s="4">
        <f>-IPMT('With Loan'!$D$41/12,'30% Down Amortization'!$A355,360,'With Loan'!$D$40,0,0)</f>
        <v>36.444679286854551</v>
      </c>
      <c r="D355" s="4">
        <f t="shared" si="11"/>
        <v>1316.1420931565772</v>
      </c>
      <c r="E355" s="3">
        <f t="shared" si="12"/>
        <v>10382.599957923892</v>
      </c>
    </row>
    <row r="356" spans="1:5">
      <c r="A356">
        <v>353</v>
      </c>
      <c r="B356" s="4">
        <f>-PPMT('With Loan'!$D$41/12,'30% Down Amortization'!$A356,360,'With Loan'!$D$40,0,0)</f>
        <v>1283.6964682880653</v>
      </c>
      <c r="C356" s="4">
        <f>-IPMT('With Loan'!$D$41/12,'30% Down Amortization'!$A356,360,'With Loan'!$D$40,0,0)</f>
        <v>32.445624868511658</v>
      </c>
      <c r="D356" s="4">
        <f t="shared" si="11"/>
        <v>1316.1420931565769</v>
      </c>
      <c r="E356" s="3">
        <f t="shared" si="12"/>
        <v>9098.903489635828</v>
      </c>
    </row>
    <row r="357" spans="1:5">
      <c r="A357">
        <v>354</v>
      </c>
      <c r="B357" s="4">
        <f>-PPMT('With Loan'!$D$41/12,'30% Down Amortization'!$A357,360,'With Loan'!$D$40,0,0)</f>
        <v>1287.7080197514656</v>
      </c>
      <c r="C357" s="4">
        <f>-IPMT('With Loan'!$D$41/12,'30% Down Amortization'!$A357,360,'With Loan'!$D$40,0,0)</f>
        <v>28.434073405111459</v>
      </c>
      <c r="D357" s="4">
        <f t="shared" si="11"/>
        <v>1316.1420931565769</v>
      </c>
      <c r="E357" s="3">
        <f t="shared" si="12"/>
        <v>7811.195469884362</v>
      </c>
    </row>
    <row r="358" spans="1:5">
      <c r="A358">
        <v>355</v>
      </c>
      <c r="B358" s="4">
        <f>-PPMT('With Loan'!$D$41/12,'30% Down Amortization'!$A358,360,'With Loan'!$D$40,0,0)</f>
        <v>1291.7321073131889</v>
      </c>
      <c r="C358" s="4">
        <f>-IPMT('With Loan'!$D$41/12,'30% Down Amortization'!$A358,360,'With Loan'!$D$40,0,0)</f>
        <v>24.409985843388124</v>
      </c>
      <c r="D358" s="4">
        <f t="shared" si="11"/>
        <v>1316.1420931565769</v>
      </c>
      <c r="E358" s="3">
        <f t="shared" si="12"/>
        <v>6519.4633625711731</v>
      </c>
    </row>
    <row r="359" spans="1:5">
      <c r="A359">
        <v>356</v>
      </c>
      <c r="B359" s="4">
        <f>-PPMT('With Loan'!$D$41/12,'30% Down Amortization'!$A359,360,'With Loan'!$D$40,0,0)</f>
        <v>1295.7687701485429</v>
      </c>
      <c r="C359" s="4">
        <f>-IPMT('With Loan'!$D$41/12,'30% Down Amortization'!$A359,360,'With Loan'!$D$40,0,0)</f>
        <v>20.373323008034415</v>
      </c>
      <c r="D359" s="4">
        <f t="shared" si="11"/>
        <v>1316.1420931565774</v>
      </c>
      <c r="E359" s="3">
        <f t="shared" si="12"/>
        <v>5223.6945924226302</v>
      </c>
    </row>
    <row r="360" spans="1:5">
      <c r="A360">
        <v>357</v>
      </c>
      <c r="B360" s="4">
        <f>-PPMT('With Loan'!$D$41/12,'30% Down Amortization'!$A360,360,'With Loan'!$D$40,0,0)</f>
        <v>1299.818047555257</v>
      </c>
      <c r="C360" s="4">
        <f>-IPMT('With Loan'!$D$41/12,'30% Down Amortization'!$A360,360,'With Loan'!$D$40,0,0)</f>
        <v>16.324045601320218</v>
      </c>
      <c r="D360" s="4">
        <f t="shared" si="11"/>
        <v>1316.1420931565772</v>
      </c>
      <c r="E360" s="3">
        <f t="shared" si="12"/>
        <v>3923.876544867373</v>
      </c>
    </row>
    <row r="361" spans="1:5">
      <c r="A361">
        <v>358</v>
      </c>
      <c r="B361" s="4">
        <f>-PPMT('With Loan'!$D$41/12,'30% Down Amortization'!$A361,360,'With Loan'!$D$40,0,0)</f>
        <v>1303.8799789538671</v>
      </c>
      <c r="C361" s="4">
        <f>-IPMT('With Loan'!$D$41/12,'30% Down Amortization'!$A361,360,'With Loan'!$D$40,0,0)</f>
        <v>12.262114202710041</v>
      </c>
      <c r="D361" s="4">
        <f t="shared" si="11"/>
        <v>1316.1420931565772</v>
      </c>
      <c r="E361" s="3">
        <f t="shared" si="12"/>
        <v>2619.9965659135059</v>
      </c>
    </row>
    <row r="362" spans="1:5">
      <c r="A362">
        <v>359</v>
      </c>
      <c r="B362" s="4">
        <f>-PPMT('With Loan'!$D$41/12,'30% Down Amortization'!$A362,360,'With Loan'!$D$40,0,0)</f>
        <v>1307.9546038880981</v>
      </c>
      <c r="C362" s="4">
        <f>-IPMT('With Loan'!$D$41/12,'30% Down Amortization'!$A362,360,'With Loan'!$D$40,0,0)</f>
        <v>8.1874892684792044</v>
      </c>
      <c r="D362" s="4">
        <f t="shared" si="11"/>
        <v>1316.1420931565772</v>
      </c>
      <c r="E362" s="3">
        <f t="shared" si="12"/>
        <v>1312.0419620254079</v>
      </c>
    </row>
    <row r="363" spans="1:5">
      <c r="A363">
        <v>360</v>
      </c>
      <c r="B363" s="4">
        <f>-PPMT('With Loan'!$D$41/12,'30% Down Amortization'!$A363,360,'With Loan'!$D$40,0,0)</f>
        <v>1312.0419620252483</v>
      </c>
      <c r="C363" s="4">
        <f>-IPMT('With Loan'!$D$41/12,'30% Down Amortization'!$A363,360,'With Loan'!$D$40,0,0)</f>
        <v>4.1001311313289008</v>
      </c>
      <c r="D363" s="4">
        <f t="shared" si="11"/>
        <v>1316.1420931565772</v>
      </c>
      <c r="E363" s="3">
        <f t="shared" si="12"/>
        <v>1.5961632016114891E-10</v>
      </c>
    </row>
  </sheetData>
  <sheetProtection algorithmName="SHA-512" hashValue="eN2M69IgExmqdA6292O9JyWvXwiKhotCCTGe2CZcEW4tenJhwcGGXj+CMM/W23PNLANj/hW4hlyTDtXfjHQk8g==" saltValue="0U48QsPD6q3TBM1dMinshg==" spinCount="100000" sheet="1" objects="1" scenarios="1"/>
  <mergeCells count="1">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169DB59EED59A4B9D2A41DA9F049753" ma:contentTypeVersion="18" ma:contentTypeDescription="Create a new document." ma:contentTypeScope="" ma:versionID="be805129e3f10e4506d6d9b76a9ec23c">
  <xsd:schema xmlns:xsd="http://www.w3.org/2001/XMLSchema" xmlns:xs="http://www.w3.org/2001/XMLSchema" xmlns:p="http://schemas.microsoft.com/office/2006/metadata/properties" xmlns:ns2="b9c8e6ef-adaa-44cf-b33b-1c02ae1fb283" xmlns:ns3="805d0126-7d6a-4874-a9c2-f0732c30a516" targetNamespace="http://schemas.microsoft.com/office/2006/metadata/properties" ma:root="true" ma:fieldsID="4f6726b1aa19d640b3c8bc5aa01c96e1" ns2:_="" ns3:_="">
    <xsd:import namespace="b9c8e6ef-adaa-44cf-b33b-1c02ae1fb283"/>
    <xsd:import namespace="805d0126-7d6a-4874-a9c2-f0732c30a51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OCR" minOccurs="0"/>
                <xsd:element ref="ns2:MediaServiceLocation" minOccurs="0"/>
                <xsd:element ref="ns2:lcf76f155ced4ddcb4097134ff3c332f" minOccurs="0"/>
                <xsd:element ref="ns3:TaxCatchAll" minOccurs="0"/>
                <xsd:element ref="ns2:MediaServiceObjectDetectorVersions"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c8e6ef-adaa-44cf-b33b-1c02ae1fb2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da262b3-c911-4d7a-9ca6-09044c850c1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05d0126-7d6a-4874-a9c2-f0732c30a516"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401e4632-65b1-419a-abf9-7aa14e6fdc28}" ma:internalName="TaxCatchAll" ma:showField="CatchAllData" ma:web="805d0126-7d6a-4874-a9c2-f0732c30a516">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9c8e6ef-adaa-44cf-b33b-1c02ae1fb283">
      <Terms xmlns="http://schemas.microsoft.com/office/infopath/2007/PartnerControls"/>
    </lcf76f155ced4ddcb4097134ff3c332f>
    <TaxCatchAll xmlns="805d0126-7d6a-4874-a9c2-f0732c30a516" xsi:nil="true"/>
  </documentManagement>
</p:properties>
</file>

<file path=customXml/itemProps1.xml><?xml version="1.0" encoding="utf-8"?>
<ds:datastoreItem xmlns:ds="http://schemas.openxmlformats.org/officeDocument/2006/customXml" ds:itemID="{95753417-07D2-4AAC-920E-09C8248A92AC}"/>
</file>

<file path=customXml/itemProps2.xml><?xml version="1.0" encoding="utf-8"?>
<ds:datastoreItem xmlns:ds="http://schemas.openxmlformats.org/officeDocument/2006/customXml" ds:itemID="{4DEB1E16-1A24-4836-A641-08D20A1EC7A1}"/>
</file>

<file path=customXml/itemProps3.xml><?xml version="1.0" encoding="utf-8"?>
<ds:datastoreItem xmlns:ds="http://schemas.openxmlformats.org/officeDocument/2006/customXml" ds:itemID="{C132D972-31B8-466B-822A-61C798CAA03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Patrick Flanagin</dc:creator>
  <cp:keywords/>
  <dc:description/>
  <cp:lastModifiedBy/>
  <cp:revision/>
  <dcterms:created xsi:type="dcterms:W3CDTF">2025-02-11T03:30:30Z</dcterms:created>
  <dcterms:modified xsi:type="dcterms:W3CDTF">2026-02-17T21:43:17Z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0x010100F169DB59EED59A4B9D2A41DA9F049753</vt:lpwstr>
  </property>
  <property fmtid="{D5CDD505-2E9C-101B-9397-08002B2CF9AE}" pid="3" name="MediaServiceImageTags">
    <vt:lpwstr/>
  </property>
</Properties>
</file>