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https://rosehavenhomesusa.sharepoint.com/sites/SeniorStaff/Shared Documents/Special Projects/Rosemont Sell Specs to Investors/"/>
    </mc:Choice>
  </mc:AlternateContent>
  <xr:revisionPtr revIDLastSave="291" documentId="8_{39A0B8BC-112D-4D00-A68C-EA2FCBA107FC}" xr6:coauthVersionLast="47" xr6:coauthVersionMax="47" xr10:uidLastSave="{A62B12EB-EF9E-49FE-A4AD-6717D6F321DB}"/>
  <bookViews>
    <workbookView xWindow="-120" yWindow="-120" windowWidth="29040" windowHeight="15720" tabRatio="654" xr2:uid="{6086E9DB-5E13-46D6-AE57-AADA5638DA8C}"/>
  </bookViews>
  <sheets>
    <sheet name="Summary" sheetId="12" r:id="rId1"/>
    <sheet name="All Cash" sheetId="8" r:id="rId2"/>
    <sheet name="With Loan" sheetId="6" r:id="rId3"/>
    <sheet name="Owner Occupier" sheetId="10" state="hidden" r:id="rId4"/>
    <sheet name="Closing Costs" sheetId="3" state="hidden" r:id="rId5"/>
    <sheet name="FHA Amotization" sheetId="11" state="hidden" r:id="rId6"/>
    <sheet name="DAta" sheetId="2" state="hidden" r:id="rId7"/>
    <sheet name="30% Down Amortization" sheetId="4" state="hidden" r:id="rId8"/>
  </sheets>
  <definedNames>
    <definedName name="_xlnm._FilterDatabase" localSheetId="7" hidden="1">'30% Down Amortization'!#REF!</definedName>
    <definedName name="_xlnm._FilterDatabase" localSheetId="5" hidden="1">'FHA Amotization'!#REF!</definedName>
    <definedName name="_xlnm.Print_Area" localSheetId="1">'All Cash'!$B$1:$I$59</definedName>
    <definedName name="_xlnm.Print_Area" localSheetId="3">'Owner Occupier'!$B$1:$I$60</definedName>
    <definedName name="_xlnm.Print_Area" localSheetId="2">'With Loan'!$B$1:$I$59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8" l="1"/>
  <c r="C35" i="12"/>
  <c r="C36" i="12"/>
  <c r="C8" i="12"/>
  <c r="H25" i="8" l="1"/>
  <c r="C33" i="12"/>
  <c r="C35" i="6"/>
  <c r="H31" i="8"/>
  <c r="Q35" i="8" s="1"/>
  <c r="H30" i="10"/>
  <c r="Q35" i="10" s="1"/>
  <c r="E35" i="12"/>
  <c r="E36" i="12" s="1"/>
  <c r="D35" i="12"/>
  <c r="D36" i="12" s="1"/>
  <c r="C34" i="12"/>
  <c r="D34" i="10"/>
  <c r="I41" i="10" s="1"/>
  <c r="H31" i="10"/>
  <c r="G32" i="10" s="1"/>
  <c r="H24" i="10"/>
  <c r="D55" i="10" s="1"/>
  <c r="E55" i="10" s="1"/>
  <c r="D41" i="10"/>
  <c r="C35" i="10"/>
  <c r="D24" i="10"/>
  <c r="H32" i="6"/>
  <c r="G33" i="6" s="1"/>
  <c r="H31" i="6"/>
  <c r="H24" i="6"/>
  <c r="H25" i="6" s="1"/>
  <c r="D41" i="6"/>
  <c r="D34" i="6"/>
  <c r="D46" i="6" s="1"/>
  <c r="H32" i="8"/>
  <c r="H24" i="8"/>
  <c r="I24" i="8" s="1"/>
  <c r="D51" i="10"/>
  <c r="E51" i="10" s="1"/>
  <c r="E48" i="10"/>
  <c r="E42" i="8"/>
  <c r="E41" i="8"/>
  <c r="D24" i="6" l="1"/>
  <c r="D34" i="8"/>
  <c r="I47" i="8" s="1"/>
  <c r="Y17" i="6"/>
  <c r="Y35" i="6"/>
  <c r="Y33" i="6"/>
  <c r="Y16" i="6"/>
  <c r="Y7" i="6"/>
  <c r="Y18" i="6"/>
  <c r="Y34" i="6"/>
  <c r="Y32" i="6"/>
  <c r="Y15" i="6"/>
  <c r="Y23" i="6"/>
  <c r="Y31" i="6"/>
  <c r="Y14" i="6"/>
  <c r="Y24" i="6"/>
  <c r="Y22" i="6"/>
  <c r="Y19" i="6"/>
  <c r="Y30" i="6"/>
  <c r="Y13" i="6"/>
  <c r="Y29" i="6"/>
  <c r="Y12" i="6"/>
  <c r="Y20" i="6"/>
  <c r="Y28" i="6"/>
  <c r="Y10" i="6"/>
  <c r="Y26" i="6"/>
  <c r="Y9" i="6"/>
  <c r="Y36" i="6"/>
  <c r="Y11" i="6"/>
  <c r="Y27" i="6"/>
  <c r="Y25" i="6"/>
  <c r="Y8" i="6"/>
  <c r="D53" i="10"/>
  <c r="E53" i="10" s="1"/>
  <c r="D46" i="10"/>
  <c r="E46" i="10" s="1"/>
  <c r="Z23" i="6"/>
  <c r="Z24" i="6"/>
  <c r="Z25" i="6"/>
  <c r="Z35" i="6"/>
  <c r="Z26" i="6"/>
  <c r="Z27" i="6"/>
  <c r="Z28" i="6"/>
  <c r="Z29" i="6"/>
  <c r="Z30" i="6"/>
  <c r="Z31" i="6"/>
  <c r="Z22" i="6"/>
  <c r="Z32" i="6"/>
  <c r="Z33" i="6"/>
  <c r="Z34" i="6"/>
  <c r="Z36" i="6"/>
  <c r="Z31" i="8"/>
  <c r="Z30" i="8"/>
  <c r="Z29" i="8"/>
  <c r="Z28" i="8"/>
  <c r="Z27" i="8"/>
  <c r="Z26" i="8"/>
  <c r="Z22" i="8"/>
  <c r="Y7" i="8"/>
  <c r="Y36" i="8"/>
  <c r="Y35" i="8"/>
  <c r="Y26" i="8"/>
  <c r="Y25" i="8"/>
  <c r="Y23" i="8"/>
  <c r="Y15" i="8"/>
  <c r="Y24" i="8"/>
  <c r="Y22" i="8"/>
  <c r="Y17" i="8"/>
  <c r="Y14" i="8"/>
  <c r="Y16" i="8"/>
  <c r="Z32" i="8"/>
  <c r="Y13" i="8"/>
  <c r="Y34" i="8"/>
  <c r="Y33" i="8"/>
  <c r="Y28" i="8"/>
  <c r="Y27" i="8"/>
  <c r="Y19" i="8"/>
  <c r="Z25" i="8"/>
  <c r="Y20" i="8"/>
  <c r="Z24" i="8"/>
  <c r="Z23" i="8"/>
  <c r="Y18" i="8"/>
  <c r="Y12" i="8"/>
  <c r="Z36" i="8"/>
  <c r="Y32" i="8"/>
  <c r="Y11" i="8"/>
  <c r="Z35" i="8"/>
  <c r="Y31" i="8"/>
  <c r="Y10" i="8"/>
  <c r="Z34" i="8"/>
  <c r="Y30" i="8"/>
  <c r="Y9" i="8"/>
  <c r="Z33" i="8"/>
  <c r="Y29" i="8"/>
  <c r="Y8" i="8"/>
  <c r="G33" i="8"/>
  <c r="Q17" i="10"/>
  <c r="Q14" i="10"/>
  <c r="Q15" i="10"/>
  <c r="Q32" i="10"/>
  <c r="R16" i="10"/>
  <c r="R8" i="10"/>
  <c r="Q36" i="8"/>
  <c r="R32" i="10"/>
  <c r="Q36" i="10"/>
  <c r="Q10" i="10"/>
  <c r="Q16" i="10"/>
  <c r="Q33" i="10"/>
  <c r="Q7" i="8"/>
  <c r="Q18" i="10"/>
  <c r="Q11" i="8"/>
  <c r="Q19" i="10"/>
  <c r="Q15" i="8"/>
  <c r="Q20" i="10"/>
  <c r="Q21" i="8"/>
  <c r="Q7" i="10"/>
  <c r="Q22" i="10"/>
  <c r="Q22" i="8"/>
  <c r="Q8" i="10"/>
  <c r="Q23" i="10"/>
  <c r="Q19" i="8"/>
  <c r="Q21" i="10"/>
  <c r="Q23" i="8"/>
  <c r="Q9" i="10"/>
  <c r="Q24" i="10"/>
  <c r="Q30" i="8"/>
  <c r="Q12" i="10"/>
  <c r="Q26" i="10"/>
  <c r="Q26" i="8"/>
  <c r="Q11" i="10"/>
  <c r="Q25" i="10"/>
  <c r="Q34" i="8"/>
  <c r="Q13" i="10"/>
  <c r="Q28" i="10"/>
  <c r="D35" i="10"/>
  <c r="H32" i="10"/>
  <c r="E22" i="12" s="1"/>
  <c r="Q27" i="10"/>
  <c r="Q29" i="10"/>
  <c r="Q30" i="10"/>
  <c r="Q31" i="10"/>
  <c r="Q34" i="10"/>
  <c r="R34" i="10"/>
  <c r="Q24" i="8"/>
  <c r="Q9" i="8"/>
  <c r="Q8" i="8"/>
  <c r="Q10" i="8"/>
  <c r="Q25" i="8"/>
  <c r="Q12" i="8"/>
  <c r="Q27" i="8"/>
  <c r="Q13" i="8"/>
  <c r="Q28" i="8"/>
  <c r="Q14" i="8"/>
  <c r="Q29" i="8"/>
  <c r="Q16" i="8"/>
  <c r="Q17" i="8"/>
  <c r="Q32" i="8"/>
  <c r="Q31" i="8"/>
  <c r="Q18" i="8"/>
  <c r="Q33" i="8"/>
  <c r="Q20" i="8"/>
  <c r="R29" i="10"/>
  <c r="R14" i="10"/>
  <c r="R31" i="10"/>
  <c r="R10" i="10"/>
  <c r="R26" i="10"/>
  <c r="R36" i="10"/>
  <c r="R22" i="10"/>
  <c r="R20" i="10"/>
  <c r="R18" i="10"/>
  <c r="R12" i="10"/>
  <c r="D54" i="10"/>
  <c r="R35" i="10"/>
  <c r="R7" i="10"/>
  <c r="R11" i="10"/>
  <c r="R15" i="10"/>
  <c r="R19" i="10"/>
  <c r="R23" i="10"/>
  <c r="R30" i="10"/>
  <c r="I24" i="10"/>
  <c r="R33" i="10"/>
  <c r="R28" i="10"/>
  <c r="R9" i="10"/>
  <c r="R13" i="10"/>
  <c r="R17" i="10"/>
  <c r="R21" i="10"/>
  <c r="R25" i="10"/>
  <c r="R27" i="10"/>
  <c r="R24" i="10"/>
  <c r="I48"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D40" i="8" l="1"/>
  <c r="E40" i="8" s="1"/>
  <c r="D24" i="8"/>
  <c r="R36" i="8" s="1"/>
  <c r="D35" i="8"/>
  <c r="D38" i="8" s="1"/>
  <c r="P12" i="8" s="1"/>
  <c r="H33" i="8"/>
  <c r="C22" i="12" s="1"/>
  <c r="R26" i="8"/>
  <c r="X6" i="8"/>
  <c r="Z6" i="8" s="1"/>
  <c r="D46" i="8"/>
  <c r="E46" i="8" s="1"/>
  <c r="D44" i="8"/>
  <c r="E44" i="8" s="1"/>
  <c r="R19" i="8"/>
  <c r="R17" i="8"/>
  <c r="R15" i="8"/>
  <c r="R28" i="8"/>
  <c r="R31" i="8"/>
  <c r="R21" i="8"/>
  <c r="R24" i="8"/>
  <c r="R16" i="8"/>
  <c r="R14" i="8"/>
  <c r="R12" i="8"/>
  <c r="R10" i="8"/>
  <c r="R8" i="8"/>
  <c r="R29" i="8"/>
  <c r="R34" i="8"/>
  <c r="R32" i="8"/>
  <c r="R27" i="8"/>
  <c r="R30" i="8"/>
  <c r="D30" i="10"/>
  <c r="D45" i="8"/>
  <c r="E45" i="8" s="1"/>
  <c r="R7" i="8"/>
  <c r="T25" i="8" s="1"/>
  <c r="R18" i="8"/>
  <c r="I25" i="8"/>
  <c r="H36" i="10"/>
  <c r="D40" i="10"/>
  <c r="E54" i="10"/>
  <c r="D52" i="10"/>
  <c r="T24" i="10"/>
  <c r="T22" i="10"/>
  <c r="T20" i="10"/>
  <c r="T18" i="10"/>
  <c r="T16" i="10"/>
  <c r="T14" i="10"/>
  <c r="T12" i="10"/>
  <c r="T10" i="10"/>
  <c r="T8" i="10"/>
  <c r="T29" i="10"/>
  <c r="T34" i="10"/>
  <c r="T21" i="10"/>
  <c r="T17" i="10"/>
  <c r="T11" i="10"/>
  <c r="T28" i="10"/>
  <c r="T32" i="10"/>
  <c r="T27" i="10"/>
  <c r="T23" i="10"/>
  <c r="T15" i="10"/>
  <c r="T7" i="10"/>
  <c r="T35" i="10"/>
  <c r="T33" i="10"/>
  <c r="T25" i="10"/>
  <c r="T30" i="10"/>
  <c r="T19" i="10"/>
  <c r="T13" i="10"/>
  <c r="T9" i="10"/>
  <c r="T26" i="10"/>
  <c r="T31" i="10"/>
  <c r="T36" i="10"/>
  <c r="D25" i="10"/>
  <c r="P26" i="8"/>
  <c r="P31" i="8"/>
  <c r="P24" i="8"/>
  <c r="P22" i="8"/>
  <c r="P20" i="8"/>
  <c r="P18" i="8"/>
  <c r="P16" i="8"/>
  <c r="P14" i="8"/>
  <c r="P32" i="8"/>
  <c r="D26" i="8"/>
  <c r="C19" i="12" s="1"/>
  <c r="P25" i="8"/>
  <c r="P35" i="8"/>
  <c r="P28" i="8"/>
  <c r="P33" i="8"/>
  <c r="P30" i="8"/>
  <c r="P19" i="8"/>
  <c r="P13" i="8"/>
  <c r="P36" i="8"/>
  <c r="E50" i="6"/>
  <c r="I24" i="6"/>
  <c r="E47" i="6"/>
  <c r="C19" i="3" s="1"/>
  <c r="A8" i="3"/>
  <c r="C6" i="3"/>
  <c r="C16" i="3" s="1"/>
  <c r="P27" i="8" l="1"/>
  <c r="R9" i="8"/>
  <c r="P7" i="8"/>
  <c r="P9" i="8"/>
  <c r="P11" i="8"/>
  <c r="R20" i="8"/>
  <c r="P15" i="8"/>
  <c r="P17" i="8"/>
  <c r="R13" i="8"/>
  <c r="P21" i="8"/>
  <c r="P23" i="8"/>
  <c r="R25" i="8"/>
  <c r="V25" i="8" s="1"/>
  <c r="R22" i="8"/>
  <c r="H36" i="8"/>
  <c r="R33" i="8"/>
  <c r="R11" i="8"/>
  <c r="R35" i="8"/>
  <c r="P34" i="8"/>
  <c r="P29" i="8"/>
  <c r="R23" i="8"/>
  <c r="P8" i="8"/>
  <c r="P10" i="8"/>
  <c r="E52" i="10"/>
  <c r="D52" i="6"/>
  <c r="E52" i="6" s="1"/>
  <c r="D25" i="8"/>
  <c r="C18" i="12" s="1"/>
  <c r="T26" i="8"/>
  <c r="V26" i="8" s="1"/>
  <c r="T33" i="8"/>
  <c r="V33" i="8" s="1"/>
  <c r="T7" i="8"/>
  <c r="V7" i="8" s="1"/>
  <c r="T9" i="8"/>
  <c r="T23" i="8"/>
  <c r="T28" i="8"/>
  <c r="V28" i="8" s="1"/>
  <c r="T32" i="8"/>
  <c r="V32" i="8" s="1"/>
  <c r="T29" i="8"/>
  <c r="V29" i="8" s="1"/>
  <c r="V17" i="10"/>
  <c r="V27" i="10"/>
  <c r="V28" i="10"/>
  <c r="V11" i="10"/>
  <c r="V21" i="10"/>
  <c r="V31" i="10"/>
  <c r="V14" i="10"/>
  <c r="V18" i="10"/>
  <c r="V20" i="10"/>
  <c r="V24" i="10"/>
  <c r="V23" i="10"/>
  <c r="V36" i="10"/>
  <c r="V26" i="10"/>
  <c r="V9" i="10"/>
  <c r="V13" i="10"/>
  <c r="V19" i="10"/>
  <c r="V30" i="10"/>
  <c r="V22" i="10"/>
  <c r="V7" i="10"/>
  <c r="V32" i="10"/>
  <c r="V34" i="10"/>
  <c r="V29" i="10"/>
  <c r="V8" i="10"/>
  <c r="V10" i="10"/>
  <c r="V12" i="10"/>
  <c r="V16" i="10"/>
  <c r="V25" i="10"/>
  <c r="V33" i="10"/>
  <c r="V35" i="10"/>
  <c r="V15" i="10"/>
  <c r="T10" i="8"/>
  <c r="V10" i="8" s="1"/>
  <c r="T35" i="8"/>
  <c r="T27" i="8"/>
  <c r="V27" i="8" s="1"/>
  <c r="T8" i="8"/>
  <c r="V8" i="8" s="1"/>
  <c r="T24" i="8"/>
  <c r="V24" i="8" s="1"/>
  <c r="T34" i="8"/>
  <c r="V34" i="8" s="1"/>
  <c r="D43" i="8"/>
  <c r="T13" i="8"/>
  <c r="V13" i="8" s="1"/>
  <c r="T14" i="8"/>
  <c r="V14" i="8" s="1"/>
  <c r="T12" i="8"/>
  <c r="V12" i="8" s="1"/>
  <c r="T15" i="8"/>
  <c r="V15" i="8" s="1"/>
  <c r="T17" i="8"/>
  <c r="V17" i="8" s="1"/>
  <c r="T18" i="8"/>
  <c r="V18" i="8" s="1"/>
  <c r="T11" i="8"/>
  <c r="T19" i="8"/>
  <c r="V19" i="8" s="1"/>
  <c r="T20" i="8"/>
  <c r="V20" i="8" s="1"/>
  <c r="T16" i="8"/>
  <c r="V16" i="8" s="1"/>
  <c r="T21" i="8"/>
  <c r="V21" i="8" s="1"/>
  <c r="Y21" i="8" s="1"/>
  <c r="T22" i="8"/>
  <c r="V22" i="8" s="1"/>
  <c r="T30" i="8"/>
  <c r="V30" i="8" s="1"/>
  <c r="T36" i="8"/>
  <c r="V36" i="8" s="1"/>
  <c r="T31" i="8"/>
  <c r="V31" i="8" s="1"/>
  <c r="E18" i="12"/>
  <c r="B25" i="11"/>
  <c r="B145" i="11"/>
  <c r="C146" i="11"/>
  <c r="B201" i="11"/>
  <c r="B213" i="11"/>
  <c r="B214" i="11"/>
  <c r="C214" i="11"/>
  <c r="B265" i="11"/>
  <c r="C314" i="11"/>
  <c r="B127" i="11"/>
  <c r="C127" i="11"/>
  <c r="C128" i="11"/>
  <c r="B129" i="11"/>
  <c r="C105" i="11"/>
  <c r="C28" i="11"/>
  <c r="C339" i="11"/>
  <c r="B323" i="11"/>
  <c r="B306" i="11"/>
  <c r="C245" i="11"/>
  <c r="C227" i="11"/>
  <c r="C205" i="11"/>
  <c r="B187" i="11"/>
  <c r="B164" i="11"/>
  <c r="C46" i="11"/>
  <c r="B106" i="11"/>
  <c r="C156" i="11"/>
  <c r="C25" i="11"/>
  <c r="C164" i="11"/>
  <c r="C251" i="11"/>
  <c r="C24" i="11"/>
  <c r="C168" i="11"/>
  <c r="C288" i="11"/>
  <c r="C66" i="11"/>
  <c r="C261" i="11"/>
  <c r="C35" i="11"/>
  <c r="B18" i="11"/>
  <c r="B48" i="11"/>
  <c r="B179" i="11"/>
  <c r="B40" i="11"/>
  <c r="B200" i="11"/>
  <c r="B360" i="11"/>
  <c r="C170" i="11"/>
  <c r="C340" i="11"/>
  <c r="B11" i="11"/>
  <c r="B112" i="11"/>
  <c r="B272" i="11"/>
  <c r="C62" i="11"/>
  <c r="C222" i="11"/>
  <c r="B23" i="11"/>
  <c r="C93" i="11"/>
  <c r="C253" i="11"/>
  <c r="C298" i="11"/>
  <c r="C77" i="11"/>
  <c r="S10" i="10"/>
  <c r="B284" i="11"/>
  <c r="C15" i="11"/>
  <c r="C111" i="11"/>
  <c r="B10" i="11"/>
  <c r="B161" i="11"/>
  <c r="C63" i="11"/>
  <c r="B69" i="11"/>
  <c r="C161" i="11"/>
  <c r="C277" i="11"/>
  <c r="B20" i="11"/>
  <c r="C202" i="11"/>
  <c r="B103" i="11"/>
  <c r="B216" i="11"/>
  <c r="B350" i="11"/>
  <c r="C256" i="11"/>
  <c r="C147" i="11"/>
  <c r="B148" i="11"/>
  <c r="C148" i="11"/>
  <c r="B149" i="11"/>
  <c r="C129" i="11"/>
  <c r="B8" i="11"/>
  <c r="B359" i="11"/>
  <c r="B341" i="11"/>
  <c r="B324" i="11"/>
  <c r="C267" i="11"/>
  <c r="C247" i="11"/>
  <c r="B228" i="11"/>
  <c r="C209" i="11"/>
  <c r="B211" i="11"/>
  <c r="B311" i="11"/>
  <c r="B235" i="11"/>
  <c r="C91" i="11"/>
  <c r="B237" i="11"/>
  <c r="B94" i="11"/>
  <c r="B238" i="11"/>
  <c r="C7" i="11"/>
  <c r="C155" i="11"/>
  <c r="B276" i="11"/>
  <c r="C49" i="11"/>
  <c r="B248" i="11"/>
  <c r="C18" i="11"/>
  <c r="C259" i="11"/>
  <c r="C34" i="11"/>
  <c r="B166" i="11"/>
  <c r="B50" i="11"/>
  <c r="B210" i="11"/>
  <c r="C10" i="11"/>
  <c r="C180" i="11"/>
  <c r="C350" i="11"/>
  <c r="B71" i="11"/>
  <c r="B122" i="11"/>
  <c r="B282" i="11"/>
  <c r="C72" i="11"/>
  <c r="C232" i="11"/>
  <c r="B33" i="11"/>
  <c r="C103" i="11"/>
  <c r="C263" i="11"/>
  <c r="B286" i="11"/>
  <c r="B64" i="11"/>
  <c r="S12" i="10"/>
  <c r="C266" i="11"/>
  <c r="B185" i="11"/>
  <c r="C116" i="11"/>
  <c r="C89" i="11"/>
  <c r="C117" i="11"/>
  <c r="B44" i="11"/>
  <c r="C291" i="11"/>
  <c r="B209" i="11"/>
  <c r="C95" i="11"/>
  <c r="C140" i="11"/>
  <c r="B242" i="11"/>
  <c r="S17" i="10"/>
  <c r="C76" i="11"/>
  <c r="B288" i="11"/>
  <c r="C42" i="11"/>
  <c r="B105" i="11"/>
  <c r="B143" i="11"/>
  <c r="C81" i="11"/>
  <c r="C270" i="11"/>
  <c r="B256" i="11"/>
  <c r="C274" i="11"/>
  <c r="C174" i="11"/>
  <c r="B175" i="11"/>
  <c r="C175" i="11"/>
  <c r="B176" i="11"/>
  <c r="B156" i="11"/>
  <c r="B29" i="11"/>
  <c r="C8" i="11"/>
  <c r="C359" i="11"/>
  <c r="C344" i="11"/>
  <c r="C285" i="11"/>
  <c r="B268" i="11"/>
  <c r="C249" i="11"/>
  <c r="C228" i="11"/>
  <c r="B229" i="11"/>
  <c r="C121" i="11"/>
  <c r="C101" i="11"/>
  <c r="C131" i="11"/>
  <c r="B174" i="11"/>
  <c r="B334" i="11"/>
  <c r="C225" i="11"/>
  <c r="C356" i="11"/>
  <c r="C139" i="11"/>
  <c r="B263" i="11"/>
  <c r="B36" i="11"/>
  <c r="C235" i="11"/>
  <c r="B5" i="11"/>
  <c r="B247" i="11"/>
  <c r="C17" i="11"/>
  <c r="C151" i="11"/>
  <c r="B60" i="11"/>
  <c r="B220" i="11"/>
  <c r="C20" i="11"/>
  <c r="C190" i="11"/>
  <c r="C360" i="11"/>
  <c r="B111" i="11"/>
  <c r="B132" i="11"/>
  <c r="B292" i="11"/>
  <c r="C82" i="11"/>
  <c r="C242" i="11"/>
  <c r="B43" i="11"/>
  <c r="C113" i="11"/>
  <c r="C273" i="11"/>
  <c r="B273" i="11"/>
  <c r="B47" i="11"/>
  <c r="S14" i="10"/>
  <c r="B56" i="11"/>
  <c r="B77" i="11"/>
  <c r="B277" i="11"/>
  <c r="C48" i="11"/>
  <c r="B252" i="11"/>
  <c r="B227" i="11"/>
  <c r="C265" i="11"/>
  <c r="B65" i="11"/>
  <c r="C243" i="11"/>
  <c r="B215" i="11"/>
  <c r="C271" i="11"/>
  <c r="B197" i="11"/>
  <c r="C197" i="11"/>
  <c r="C198" i="11"/>
  <c r="B199" i="11"/>
  <c r="C176" i="11"/>
  <c r="C57" i="11"/>
  <c r="C29" i="11"/>
  <c r="B9" i="11"/>
  <c r="B361" i="11"/>
  <c r="C306" i="11"/>
  <c r="B287" i="11"/>
  <c r="C268" i="11"/>
  <c r="B251" i="11"/>
  <c r="B253" i="11"/>
  <c r="C45" i="11"/>
  <c r="B348" i="11"/>
  <c r="B46" i="11"/>
  <c r="C348" i="11"/>
  <c r="B333" i="11"/>
  <c r="C211" i="11"/>
  <c r="B344" i="11"/>
  <c r="C126" i="11"/>
  <c r="C248" i="11"/>
  <c r="B19" i="11"/>
  <c r="C221" i="11"/>
  <c r="C207" i="11"/>
  <c r="C234" i="11"/>
  <c r="B354" i="11"/>
  <c r="B137" i="11"/>
  <c r="B70" i="11"/>
  <c r="B230" i="11"/>
  <c r="C30" i="11"/>
  <c r="C200" i="11"/>
  <c r="B21" i="11"/>
  <c r="B131" i="11"/>
  <c r="B142" i="11"/>
  <c r="B302" i="11"/>
  <c r="C92" i="11"/>
  <c r="C252" i="11"/>
  <c r="B53" i="11"/>
  <c r="C123" i="11"/>
  <c r="C283" i="11"/>
  <c r="C258" i="11"/>
  <c r="C31" i="11"/>
  <c r="S9" i="10"/>
  <c r="S16" i="10"/>
  <c r="B28" i="11"/>
  <c r="B24" i="11"/>
  <c r="C68" i="11"/>
  <c r="C301" i="11"/>
  <c r="B170" i="11"/>
  <c r="C310" i="11"/>
  <c r="C352" i="11"/>
  <c r="C204" i="11"/>
  <c r="B55" i="11"/>
  <c r="C90" i="11"/>
  <c r="B205" i="11"/>
  <c r="B184" i="11"/>
  <c r="C160" i="11"/>
  <c r="C94" i="11"/>
  <c r="C144" i="11"/>
  <c r="C216" i="11"/>
  <c r="B217" i="11"/>
  <c r="C217" i="11"/>
  <c r="B218" i="11"/>
  <c r="C199" i="11"/>
  <c r="B86" i="11"/>
  <c r="B58" i="11"/>
  <c r="B37" i="11"/>
  <c r="C187" i="11"/>
  <c r="C324" i="11"/>
  <c r="B307" i="11"/>
  <c r="C287" i="11"/>
  <c r="B269" i="11"/>
  <c r="C269" i="11"/>
  <c r="C254" i="11"/>
  <c r="B294" i="11"/>
  <c r="C309" i="11"/>
  <c r="C294" i="11"/>
  <c r="B275" i="11"/>
  <c r="B198" i="11"/>
  <c r="B329" i="11"/>
  <c r="B113" i="11"/>
  <c r="B236" i="11"/>
  <c r="C5" i="11"/>
  <c r="B208" i="11"/>
  <c r="B195" i="11"/>
  <c r="C219" i="11"/>
  <c r="B339" i="11"/>
  <c r="B124" i="11"/>
  <c r="B80" i="11"/>
  <c r="B240" i="11"/>
  <c r="C40" i="11"/>
  <c r="C210" i="11"/>
  <c r="B31" i="11"/>
  <c r="B151" i="11"/>
  <c r="B152" i="11"/>
  <c r="B312" i="11"/>
  <c r="C102" i="11"/>
  <c r="C262" i="11"/>
  <c r="B63" i="11"/>
  <c r="C133" i="11"/>
  <c r="C293" i="11"/>
  <c r="B246" i="11"/>
  <c r="C16" i="11"/>
  <c r="S15" i="10"/>
  <c r="S18" i="10"/>
  <c r="B7" i="11"/>
  <c r="C192" i="11"/>
  <c r="B57" i="11"/>
  <c r="C311" i="11"/>
  <c r="B97" i="11"/>
  <c r="C150" i="11"/>
  <c r="C362" i="11"/>
  <c r="C104" i="11"/>
  <c r="B177" i="11"/>
  <c r="B35" i="11"/>
  <c r="C212" i="11"/>
  <c r="C74" i="11"/>
  <c r="C238" i="11"/>
  <c r="B239" i="11"/>
  <c r="C239" i="11"/>
  <c r="B241" i="11"/>
  <c r="B221" i="11"/>
  <c r="C106" i="11"/>
  <c r="C86" i="11"/>
  <c r="C58" i="11"/>
  <c r="C327" i="11"/>
  <c r="B345" i="11"/>
  <c r="B325" i="11"/>
  <c r="C307" i="11"/>
  <c r="C289" i="11"/>
  <c r="B291" i="11"/>
  <c r="B119" i="11"/>
  <c r="C169" i="11"/>
  <c r="C189" i="11"/>
  <c r="B173" i="11"/>
  <c r="C215" i="11"/>
  <c r="C185" i="11"/>
  <c r="C316" i="11"/>
  <c r="C97" i="11"/>
  <c r="B223" i="11"/>
  <c r="C195" i="11"/>
  <c r="B181" i="11"/>
  <c r="B207" i="11"/>
  <c r="C326" i="11"/>
  <c r="B108" i="11"/>
  <c r="B90" i="11"/>
  <c r="B250" i="11"/>
  <c r="C50" i="11"/>
  <c r="C220" i="11"/>
  <c r="B41" i="11"/>
  <c r="B171" i="11"/>
  <c r="B162" i="11"/>
  <c r="B322" i="11"/>
  <c r="C112" i="11"/>
  <c r="C272" i="11"/>
  <c r="B73" i="11"/>
  <c r="C143" i="11"/>
  <c r="C303" i="11"/>
  <c r="B233" i="11"/>
  <c r="S23" i="10"/>
  <c r="S20" i="10"/>
  <c r="B54" i="11"/>
  <c r="C334" i="11"/>
  <c r="C328" i="11"/>
  <c r="B219" i="11"/>
  <c r="C32" i="11"/>
  <c r="B267" i="11"/>
  <c r="B117" i="11"/>
  <c r="B278" i="11"/>
  <c r="C206" i="11"/>
  <c r="C233" i="11"/>
  <c r="C84" i="11"/>
  <c r="B163" i="11"/>
  <c r="B38" i="11"/>
  <c r="B190" i="11"/>
  <c r="B313" i="11"/>
  <c r="B331" i="11"/>
  <c r="B257" i="11"/>
  <c r="C257" i="11"/>
  <c r="B258" i="11"/>
  <c r="B261" i="11"/>
  <c r="C241" i="11"/>
  <c r="B133" i="11"/>
  <c r="B107" i="11"/>
  <c r="B87" i="11"/>
  <c r="C9" i="11"/>
  <c r="C361" i="11"/>
  <c r="B346" i="11"/>
  <c r="C325" i="11"/>
  <c r="B308" i="11"/>
  <c r="C308" i="11"/>
  <c r="B301" i="11"/>
  <c r="C99" i="11"/>
  <c r="B309" i="11"/>
  <c r="C231" i="11"/>
  <c r="B147" i="11"/>
  <c r="C171" i="11"/>
  <c r="B304" i="11"/>
  <c r="B84" i="11"/>
  <c r="C208" i="11"/>
  <c r="C181" i="11"/>
  <c r="B167" i="11"/>
  <c r="C194" i="11"/>
  <c r="B314" i="11"/>
  <c r="B95" i="11"/>
  <c r="B100" i="11"/>
  <c r="B260" i="11"/>
  <c r="C60" i="11"/>
  <c r="C230" i="11"/>
  <c r="B51" i="11"/>
  <c r="B12" i="11"/>
  <c r="B172" i="11"/>
  <c r="B332" i="11"/>
  <c r="C122" i="11"/>
  <c r="C282" i="11"/>
  <c r="B83" i="11"/>
  <c r="C153" i="11"/>
  <c r="C313" i="11"/>
  <c r="C218" i="11"/>
  <c r="S25" i="10"/>
  <c r="S35" i="10"/>
  <c r="S22" i="10"/>
  <c r="B315" i="11"/>
  <c r="C65" i="11"/>
  <c r="B123" i="11"/>
  <c r="C56" i="11"/>
  <c r="B349" i="11"/>
  <c r="B66" i="11"/>
  <c r="C320" i="11"/>
  <c r="C73" i="11"/>
  <c r="B271" i="11"/>
  <c r="C186" i="11"/>
  <c r="B303" i="11"/>
  <c r="B102" i="11"/>
  <c r="S34" i="10"/>
  <c r="B74" i="11"/>
  <c r="B146" i="11"/>
  <c r="C278" i="11"/>
  <c r="B279" i="11"/>
  <c r="C279" i="11"/>
  <c r="B281" i="11"/>
  <c r="C264" i="11"/>
  <c r="C157" i="11"/>
  <c r="B134" i="11"/>
  <c r="B114" i="11"/>
  <c r="C37" i="11"/>
  <c r="C11" i="11"/>
  <c r="B363" i="11"/>
  <c r="C346" i="11"/>
  <c r="B327" i="11"/>
  <c r="C347" i="11"/>
  <c r="C44" i="11"/>
  <c r="C21" i="11"/>
  <c r="B45" i="11"/>
  <c r="B293" i="11"/>
  <c r="B75" i="11"/>
  <c r="B157" i="11"/>
  <c r="B289" i="11"/>
  <c r="B67" i="11"/>
  <c r="B196" i="11"/>
  <c r="C167" i="11"/>
  <c r="B154" i="11"/>
  <c r="C179" i="11"/>
  <c r="B299" i="11"/>
  <c r="B78" i="11"/>
  <c r="B110" i="11"/>
  <c r="B270" i="11"/>
  <c r="C70" i="11"/>
  <c r="C240" i="11"/>
  <c r="B61" i="11"/>
  <c r="B22" i="11"/>
  <c r="B182" i="11"/>
  <c r="B342" i="11"/>
  <c r="C132" i="11"/>
  <c r="C292" i="11"/>
  <c r="B93" i="11"/>
  <c r="C163" i="11"/>
  <c r="C323" i="11"/>
  <c r="B206" i="11"/>
  <c r="S32" i="10"/>
  <c r="S7" i="10"/>
  <c r="C55" i="11"/>
  <c r="C338" i="11"/>
  <c r="C295" i="11"/>
  <c r="B326" i="11"/>
  <c r="B305" i="11"/>
  <c r="C330" i="11"/>
  <c r="C329" i="11"/>
  <c r="C145" i="11"/>
  <c r="D145" i="11" s="1"/>
  <c r="C296" i="11"/>
  <c r="B297" i="11"/>
  <c r="C297" i="11"/>
  <c r="B298" i="11"/>
  <c r="C281" i="11"/>
  <c r="C177" i="11"/>
  <c r="B158" i="11"/>
  <c r="C134" i="11"/>
  <c r="B59" i="11"/>
  <c r="C38" i="11"/>
  <c r="B14" i="11"/>
  <c r="B4" i="11"/>
  <c r="B347" i="11"/>
  <c r="B191" i="11"/>
  <c r="B296" i="11"/>
  <c r="B338" i="11"/>
  <c r="C351" i="11"/>
  <c r="B231" i="11"/>
  <c r="B358" i="11"/>
  <c r="B144" i="11"/>
  <c r="C276" i="11"/>
  <c r="C51" i="11"/>
  <c r="B183" i="11"/>
  <c r="C154" i="11"/>
  <c r="B138" i="11"/>
  <c r="C166" i="11"/>
  <c r="C286" i="11"/>
  <c r="C64" i="11"/>
  <c r="B120" i="11"/>
  <c r="B280" i="11"/>
  <c r="C80" i="11"/>
  <c r="C250" i="11"/>
  <c r="B81" i="11"/>
  <c r="B32" i="11"/>
  <c r="B192" i="11"/>
  <c r="B352" i="11"/>
  <c r="C142" i="11"/>
  <c r="C302" i="11"/>
  <c r="C13" i="11"/>
  <c r="C173" i="11"/>
  <c r="C333" i="11"/>
  <c r="B193" i="11"/>
  <c r="S27" i="10"/>
  <c r="D43" i="10"/>
  <c r="S13" i="10"/>
  <c r="C54" i="11"/>
  <c r="B186" i="11"/>
  <c r="B340" i="11"/>
  <c r="S29" i="10"/>
  <c r="B285" i="11"/>
  <c r="B30" i="11"/>
  <c r="S8" i="10"/>
  <c r="C71" i="11"/>
  <c r="C255" i="11"/>
  <c r="B317" i="11"/>
  <c r="C317" i="11"/>
  <c r="C318" i="11"/>
  <c r="B319" i="11"/>
  <c r="C299" i="11"/>
  <c r="C201" i="11"/>
  <c r="B178" i="11"/>
  <c r="C158" i="11"/>
  <c r="C87" i="11"/>
  <c r="C59" i="11"/>
  <c r="B39" i="11"/>
  <c r="C14" i="11"/>
  <c r="C4" i="11"/>
  <c r="C119" i="11"/>
  <c r="B188" i="11"/>
  <c r="B169" i="11"/>
  <c r="B254" i="11"/>
  <c r="B16" i="11"/>
  <c r="C345" i="11"/>
  <c r="B128" i="11"/>
  <c r="B264" i="11"/>
  <c r="C36" i="11"/>
  <c r="B168" i="11"/>
  <c r="C355" i="11"/>
  <c r="C138" i="11"/>
  <c r="B125" i="11"/>
  <c r="B153" i="11"/>
  <c r="B274" i="11"/>
  <c r="C47" i="11"/>
  <c r="B130" i="11"/>
  <c r="B290" i="11"/>
  <c r="C100" i="11"/>
  <c r="C260" i="11"/>
  <c r="B91" i="11"/>
  <c r="B42" i="11"/>
  <c r="B202" i="11"/>
  <c r="B362" i="11"/>
  <c r="C152" i="11"/>
  <c r="C312" i="11"/>
  <c r="C23" i="11"/>
  <c r="C183" i="11"/>
  <c r="C343" i="11"/>
  <c r="C178" i="11"/>
  <c r="S31" i="10"/>
  <c r="S36" i="10"/>
  <c r="S19" i="10"/>
  <c r="C159" i="11"/>
  <c r="C304" i="11"/>
  <c r="C196" i="11"/>
  <c r="B92" i="11"/>
  <c r="B104" i="11"/>
  <c r="C224" i="11"/>
  <c r="B194" i="11"/>
  <c r="B13" i="11"/>
  <c r="B255" i="11"/>
  <c r="C335" i="11"/>
  <c r="B336" i="11"/>
  <c r="C336" i="11"/>
  <c r="B337" i="11"/>
  <c r="C319" i="11"/>
  <c r="B225" i="11"/>
  <c r="B203" i="11"/>
  <c r="C184" i="11"/>
  <c r="C114" i="11"/>
  <c r="B88" i="11"/>
  <c r="C61" i="11"/>
  <c r="C39" i="11"/>
  <c r="B15" i="11"/>
  <c r="C358" i="11"/>
  <c r="B118" i="11"/>
  <c r="C98" i="11"/>
  <c r="C118" i="11"/>
  <c r="B283" i="11"/>
  <c r="C331" i="11"/>
  <c r="B115" i="11"/>
  <c r="B249" i="11"/>
  <c r="C19" i="11"/>
  <c r="B155" i="11"/>
  <c r="C341" i="11"/>
  <c r="C125" i="11"/>
  <c r="B109" i="11"/>
  <c r="C137" i="11"/>
  <c r="B259" i="11"/>
  <c r="B34" i="11"/>
  <c r="B140" i="11"/>
  <c r="B300" i="11"/>
  <c r="C110" i="11"/>
  <c r="C280" i="11"/>
  <c r="B101" i="11"/>
  <c r="B52" i="11"/>
  <c r="B212" i="11"/>
  <c r="E47" i="10"/>
  <c r="C162" i="11"/>
  <c r="C322" i="11"/>
  <c r="C33" i="11"/>
  <c r="C193" i="11"/>
  <c r="C353" i="11"/>
  <c r="C165" i="11"/>
  <c r="S26" i="10"/>
  <c r="S30" i="10"/>
  <c r="B245" i="11"/>
  <c r="C79" i="11"/>
  <c r="B82" i="11"/>
  <c r="B76" i="11"/>
  <c r="C78" i="11"/>
  <c r="C107" i="11"/>
  <c r="C321" i="11"/>
  <c r="B49" i="11"/>
  <c r="C83" i="11"/>
  <c r="B321" i="11"/>
  <c r="B17" i="11"/>
  <c r="C354" i="11"/>
  <c r="B355" i="11"/>
  <c r="B356" i="11"/>
  <c r="B357" i="11"/>
  <c r="C337" i="11"/>
  <c r="B244" i="11"/>
  <c r="B226" i="11"/>
  <c r="B204" i="11"/>
  <c r="B135" i="11"/>
  <c r="C115" i="11"/>
  <c r="C88" i="11"/>
  <c r="C67" i="11"/>
  <c r="C41" i="11"/>
  <c r="B189" i="11"/>
  <c r="C349" i="11"/>
  <c r="B335" i="11"/>
  <c r="B351" i="11"/>
  <c r="C229" i="11"/>
  <c r="B318" i="11"/>
  <c r="B99" i="11"/>
  <c r="C236" i="11"/>
  <c r="B6" i="11"/>
  <c r="B139" i="11"/>
  <c r="B328" i="11"/>
  <c r="C109" i="11"/>
  <c r="B96" i="11"/>
  <c r="C124" i="11"/>
  <c r="C246" i="11"/>
  <c r="B150" i="11"/>
  <c r="B310" i="11"/>
  <c r="C120" i="11"/>
  <c r="C290" i="11"/>
  <c r="B121" i="11"/>
  <c r="B62" i="11"/>
  <c r="B222" i="11"/>
  <c r="C12" i="11"/>
  <c r="C172" i="11"/>
  <c r="C332" i="11"/>
  <c r="C43" i="11"/>
  <c r="C203" i="11"/>
  <c r="C363" i="11"/>
  <c r="C149" i="11"/>
  <c r="S28" i="10"/>
  <c r="S33" i="10"/>
  <c r="C223" i="11"/>
  <c r="C284" i="11"/>
  <c r="B295" i="11"/>
  <c r="C52" i="11"/>
  <c r="C69" i="11"/>
  <c r="B26" i="11"/>
  <c r="C26" i="11"/>
  <c r="B27" i="11"/>
  <c r="C27" i="11"/>
  <c r="C6" i="11"/>
  <c r="C357" i="11"/>
  <c r="B266" i="11"/>
  <c r="C244" i="11"/>
  <c r="C226" i="11"/>
  <c r="B159" i="11"/>
  <c r="C135" i="11"/>
  <c r="B116" i="11"/>
  <c r="B89" i="11"/>
  <c r="B68" i="11"/>
  <c r="C188" i="11"/>
  <c r="C237" i="11"/>
  <c r="B98" i="11"/>
  <c r="B243" i="11"/>
  <c r="B165" i="11"/>
  <c r="C305" i="11"/>
  <c r="C85" i="11"/>
  <c r="B224" i="11"/>
  <c r="B343" i="11"/>
  <c r="B126" i="11"/>
  <c r="C315" i="11"/>
  <c r="C96" i="11"/>
  <c r="B79" i="11"/>
  <c r="C108" i="11"/>
  <c r="B234" i="11"/>
  <c r="S24" i="10"/>
  <c r="B160" i="11"/>
  <c r="B320" i="11"/>
  <c r="C130" i="11"/>
  <c r="C300" i="11"/>
  <c r="B141" i="11"/>
  <c r="B72" i="11"/>
  <c r="B232" i="11"/>
  <c r="C22" i="11"/>
  <c r="C182" i="11"/>
  <c r="C342" i="11"/>
  <c r="C53" i="11"/>
  <c r="C213" i="11"/>
  <c r="B353" i="11"/>
  <c r="C136" i="11"/>
  <c r="S11" i="10"/>
  <c r="B136" i="11"/>
  <c r="B330" i="11"/>
  <c r="C75" i="11"/>
  <c r="C141" i="11"/>
  <c r="B316" i="11"/>
  <c r="B180" i="11"/>
  <c r="S21" i="10"/>
  <c r="B85" i="11"/>
  <c r="C191" i="11"/>
  <c r="C275" i="11"/>
  <c r="B262" i="11"/>
  <c r="D53" i="6"/>
  <c r="E53" i="6" s="1"/>
  <c r="D54" i="6"/>
  <c r="E54" i="6" s="1"/>
  <c r="I25" i="6"/>
  <c r="V23" i="8" l="1"/>
  <c r="V9" i="8"/>
  <c r="V11" i="8"/>
  <c r="V35" i="8"/>
  <c r="D339" i="11"/>
  <c r="D34" i="11"/>
  <c r="D289" i="11"/>
  <c r="D85" i="11"/>
  <c r="D274" i="11"/>
  <c r="D288" i="11"/>
  <c r="D301" i="11"/>
  <c r="D231" i="11"/>
  <c r="D128" i="11"/>
  <c r="D66" i="11"/>
  <c r="D90" i="11"/>
  <c r="D101" i="11"/>
  <c r="D15" i="11"/>
  <c r="D222" i="11"/>
  <c r="D189" i="11"/>
  <c r="D168" i="11"/>
  <c r="D219" i="11"/>
  <c r="D32" i="11"/>
  <c r="D16" i="11"/>
  <c r="D232" i="11"/>
  <c r="D202" i="11"/>
  <c r="D285" i="11"/>
  <c r="D18" i="12"/>
  <c r="E43" i="8"/>
  <c r="E47" i="8" s="1"/>
  <c r="H44" i="8" s="1"/>
  <c r="D47" i="8"/>
  <c r="H26" i="8" s="1"/>
  <c r="D245" i="11"/>
  <c r="D362" i="11"/>
  <c r="D314" i="11"/>
  <c r="D352" i="11"/>
  <c r="D298" i="11"/>
  <c r="D159" i="11"/>
  <c r="D146" i="11"/>
  <c r="D140" i="11"/>
  <c r="D194" i="11"/>
  <c r="D117" i="11"/>
  <c r="D116" i="11"/>
  <c r="D95" i="11"/>
  <c r="D213" i="11"/>
  <c r="D264" i="11"/>
  <c r="D57" i="11"/>
  <c r="D270" i="11"/>
  <c r="D89" i="11"/>
  <c r="D209" i="11"/>
  <c r="D147" i="11"/>
  <c r="D212" i="11"/>
  <c r="D81" i="11"/>
  <c r="D126" i="11"/>
  <c r="D293" i="11"/>
  <c r="D328" i="11"/>
  <c r="D204" i="11"/>
  <c r="D151" i="11"/>
  <c r="D348" i="11"/>
  <c r="D201" i="11"/>
  <c r="D326" i="11"/>
  <c r="D74" i="11"/>
  <c r="D180" i="11"/>
  <c r="D42" i="11"/>
  <c r="D92" i="11"/>
  <c r="D91" i="11"/>
  <c r="D111" i="11"/>
  <c r="D320" i="11"/>
  <c r="D121" i="11"/>
  <c r="D169" i="11"/>
  <c r="D133" i="11"/>
  <c r="D205" i="11"/>
  <c r="D77" i="11"/>
  <c r="D256" i="11"/>
  <c r="D214" i="11"/>
  <c r="D291" i="11"/>
  <c r="D283" i="11"/>
  <c r="D190" i="11"/>
  <c r="D46" i="11"/>
  <c r="D13" i="11"/>
  <c r="D244" i="11"/>
  <c r="D14" i="11"/>
  <c r="D346" i="11"/>
  <c r="D73" i="11"/>
  <c r="D29" i="11"/>
  <c r="D33" i="11"/>
  <c r="D341" i="11"/>
  <c r="D129" i="11"/>
  <c r="D224" i="11"/>
  <c r="D139" i="11"/>
  <c r="D226" i="11"/>
  <c r="D300" i="11"/>
  <c r="D118" i="11"/>
  <c r="D4" i="11"/>
  <c r="D163" i="11"/>
  <c r="D230" i="11"/>
  <c r="D215" i="11"/>
  <c r="D248" i="11"/>
  <c r="D324" i="11"/>
  <c r="D272" i="11"/>
  <c r="D99" i="11"/>
  <c r="D104" i="11"/>
  <c r="D102" i="11"/>
  <c r="D234" i="11"/>
  <c r="D93" i="11"/>
  <c r="D297" i="11"/>
  <c r="D153" i="11"/>
  <c r="D347" i="11"/>
  <c r="D31" i="11"/>
  <c r="D253" i="11"/>
  <c r="D112" i="11"/>
  <c r="D223" i="11"/>
  <c r="D72" i="11"/>
  <c r="D316" i="11"/>
  <c r="D318" i="11"/>
  <c r="D254" i="11"/>
  <c r="D351" i="11"/>
  <c r="D206" i="11"/>
  <c r="D261" i="11"/>
  <c r="D155" i="11"/>
  <c r="D225" i="11"/>
  <c r="D340" i="11"/>
  <c r="D262" i="11"/>
  <c r="D198" i="11"/>
  <c r="D39" i="11"/>
  <c r="D343" i="11"/>
  <c r="D266" i="11"/>
  <c r="D319" i="11"/>
  <c r="D193" i="11"/>
  <c r="D137" i="11"/>
  <c r="D65" i="11"/>
  <c r="D292" i="11"/>
  <c r="D156" i="11"/>
  <c r="D276" i="11"/>
  <c r="D11" i="11"/>
  <c r="D69" i="11"/>
  <c r="D165" i="11"/>
  <c r="D259" i="11"/>
  <c r="D221" i="11"/>
  <c r="D7" i="11"/>
  <c r="D26" i="11"/>
  <c r="D355" i="11"/>
  <c r="D109" i="11"/>
  <c r="D88" i="11"/>
  <c r="D317" i="11"/>
  <c r="D183" i="11"/>
  <c r="D158" i="11"/>
  <c r="D83" i="11"/>
  <c r="D107" i="11"/>
  <c r="D162" i="11"/>
  <c r="D269" i="11"/>
  <c r="D252" i="11"/>
  <c r="D174" i="11"/>
  <c r="D175" i="11"/>
  <c r="D122" i="11"/>
  <c r="D238" i="11"/>
  <c r="D330" i="11"/>
  <c r="D160" i="11"/>
  <c r="D335" i="11"/>
  <c r="D17" i="11"/>
  <c r="D148" i="11"/>
  <c r="D68" i="11"/>
  <c r="D310" i="11"/>
  <c r="D258" i="11"/>
  <c r="D150" i="11"/>
  <c r="D249" i="11"/>
  <c r="D250" i="11"/>
  <c r="D35" i="11"/>
  <c r="D37" i="11"/>
  <c r="D344" i="11"/>
  <c r="D350" i="11"/>
  <c r="D123" i="11"/>
  <c r="D113" i="11"/>
  <c r="D170" i="11"/>
  <c r="D131" i="11"/>
  <c r="D247" i="11"/>
  <c r="D96" i="11"/>
  <c r="D336" i="11"/>
  <c r="D296" i="11"/>
  <c r="D313" i="11"/>
  <c r="D82" i="11"/>
  <c r="D255" i="11"/>
  <c r="D178" i="11"/>
  <c r="D120" i="11"/>
  <c r="D305" i="11"/>
  <c r="D61" i="11"/>
  <c r="D45" i="11"/>
  <c r="D100" i="11"/>
  <c r="D308" i="11"/>
  <c r="D38" i="11"/>
  <c r="D181" i="11"/>
  <c r="D97" i="11"/>
  <c r="D24" i="11"/>
  <c r="D43" i="11"/>
  <c r="D36" i="11"/>
  <c r="D28" i="11"/>
  <c r="D141" i="11"/>
  <c r="D27" i="11"/>
  <c r="D357" i="11"/>
  <c r="D138" i="11"/>
  <c r="D59" i="11"/>
  <c r="D110" i="11"/>
  <c r="D327" i="11"/>
  <c r="D167" i="11"/>
  <c r="D240" i="11"/>
  <c r="D354" i="11"/>
  <c r="D132" i="11"/>
  <c r="D176" i="11"/>
  <c r="D8" i="11"/>
  <c r="D161" i="11"/>
  <c r="D25" i="11"/>
  <c r="D243" i="11"/>
  <c r="D356" i="11"/>
  <c r="D78" i="11"/>
  <c r="D303" i="11"/>
  <c r="D87" i="11"/>
  <c r="D278" i="11"/>
  <c r="D322" i="11"/>
  <c r="D241" i="11"/>
  <c r="D80" i="11"/>
  <c r="D287" i="11"/>
  <c r="D227" i="11"/>
  <c r="D334" i="11"/>
  <c r="D282" i="11"/>
  <c r="D10" i="11"/>
  <c r="D127" i="11"/>
  <c r="D124" i="11"/>
  <c r="D184" i="11"/>
  <c r="D149" i="11"/>
  <c r="D360" i="11"/>
  <c r="D106" i="11"/>
  <c r="D6" i="11"/>
  <c r="D294" i="11"/>
  <c r="D62" i="11"/>
  <c r="D271" i="11"/>
  <c r="D84" i="11"/>
  <c r="D267" i="11"/>
  <c r="D171" i="11"/>
  <c r="D173" i="11"/>
  <c r="D239" i="11"/>
  <c r="D361" i="11"/>
  <c r="D44" i="11"/>
  <c r="D71" i="11"/>
  <c r="D94" i="11"/>
  <c r="D200" i="11"/>
  <c r="D265" i="11"/>
  <c r="D263" i="11"/>
  <c r="D242" i="11"/>
  <c r="D290" i="11"/>
  <c r="D188" i="11"/>
  <c r="D154" i="11"/>
  <c r="D304" i="11"/>
  <c r="D41" i="11"/>
  <c r="D246" i="11"/>
  <c r="D307" i="11"/>
  <c r="D53" i="11"/>
  <c r="D19" i="11"/>
  <c r="D9" i="11"/>
  <c r="D277" i="11"/>
  <c r="D237" i="11"/>
  <c r="D284" i="11"/>
  <c r="D40" i="11"/>
  <c r="D164" i="11"/>
  <c r="D299" i="11"/>
  <c r="D321" i="11"/>
  <c r="D203" i="11"/>
  <c r="D130" i="11"/>
  <c r="D144" i="11"/>
  <c r="D114" i="11"/>
  <c r="D332" i="11"/>
  <c r="D195" i="11"/>
  <c r="D55" i="11"/>
  <c r="D220" i="11"/>
  <c r="D179" i="11"/>
  <c r="D187" i="11"/>
  <c r="D98" i="11"/>
  <c r="D136" i="11"/>
  <c r="D295" i="11"/>
  <c r="D30" i="11"/>
  <c r="D192" i="11"/>
  <c r="D358" i="11"/>
  <c r="D196" i="11"/>
  <c r="D134" i="11"/>
  <c r="D172" i="11"/>
  <c r="D119" i="11"/>
  <c r="D208" i="11"/>
  <c r="D56" i="11"/>
  <c r="D60" i="11"/>
  <c r="D229" i="11"/>
  <c r="D235" i="11"/>
  <c r="D48" i="11"/>
  <c r="D45" i="10"/>
  <c r="E43" i="10"/>
  <c r="E45" i="10" s="1"/>
  <c r="E49" i="10" s="1"/>
  <c r="E56" i="10" s="1"/>
  <c r="D359" i="11"/>
  <c r="D49" i="11"/>
  <c r="D67" i="11"/>
  <c r="D349" i="11"/>
  <c r="D12" i="11"/>
  <c r="D63" i="11"/>
  <c r="D302" i="11"/>
  <c r="D185" i="11"/>
  <c r="D210" i="11"/>
  <c r="D311" i="11"/>
  <c r="D18" i="11"/>
  <c r="D47" i="10"/>
  <c r="D115" i="11"/>
  <c r="D337" i="11"/>
  <c r="D51" i="11"/>
  <c r="D309" i="11"/>
  <c r="D257" i="11"/>
  <c r="D54" i="11"/>
  <c r="D177" i="11"/>
  <c r="D236" i="11"/>
  <c r="D58" i="11"/>
  <c r="D142" i="11"/>
  <c r="D199" i="11"/>
  <c r="D47" i="11"/>
  <c r="D143" i="11"/>
  <c r="D50" i="11"/>
  <c r="D211" i="11"/>
  <c r="D216" i="11"/>
  <c r="D353" i="11"/>
  <c r="D79" i="11"/>
  <c r="D52" i="11"/>
  <c r="D125" i="11"/>
  <c r="D338" i="11"/>
  <c r="D342" i="11"/>
  <c r="D157" i="11"/>
  <c r="D281" i="11"/>
  <c r="D331" i="11"/>
  <c r="D108" i="11"/>
  <c r="D86" i="11"/>
  <c r="D333" i="11"/>
  <c r="D273" i="11"/>
  <c r="D268" i="11"/>
  <c r="D105" i="11"/>
  <c r="D166" i="11"/>
  <c r="D103" i="11"/>
  <c r="D306" i="11"/>
  <c r="D217" i="11"/>
  <c r="D70" i="11"/>
  <c r="D251" i="11"/>
  <c r="D186" i="11"/>
  <c r="D182" i="11"/>
  <c r="D75" i="11"/>
  <c r="D325" i="11"/>
  <c r="D312" i="11"/>
  <c r="D329" i="11"/>
  <c r="D21" i="11"/>
  <c r="D5" i="11"/>
  <c r="D64" i="11"/>
  <c r="D228" i="11"/>
  <c r="D23" i="11"/>
  <c r="D323" i="11"/>
  <c r="D275" i="11"/>
  <c r="D363" i="11"/>
  <c r="D135" i="11"/>
  <c r="D76" i="11"/>
  <c r="D280" i="11"/>
  <c r="D191" i="11"/>
  <c r="D22" i="11"/>
  <c r="D279" i="11"/>
  <c r="D315" i="11"/>
  <c r="D260" i="11"/>
  <c r="D233" i="11"/>
  <c r="D207" i="11"/>
  <c r="D345" i="11"/>
  <c r="D152" i="11"/>
  <c r="D218" i="11"/>
  <c r="D197" i="11"/>
  <c r="D286" i="11"/>
  <c r="D20" i="11"/>
  <c r="E4" i="11"/>
  <c r="E5" i="11" s="1"/>
  <c r="E6" i="11" s="1"/>
  <c r="E7" i="11" s="1"/>
  <c r="E8" i="11" s="1"/>
  <c r="E9" i="11" s="1"/>
  <c r="E10" i="11" s="1"/>
  <c r="E11" i="11" s="1"/>
  <c r="E12" i="11" s="1"/>
  <c r="E13" i="11" s="1"/>
  <c r="E14" i="11" s="1"/>
  <c r="E15" i="11" s="1"/>
  <c r="D25" i="6"/>
  <c r="A11" i="2"/>
  <c r="A12" i="2" s="1"/>
  <c r="A13" i="2" s="1"/>
  <c r="A14" i="2" s="1"/>
  <c r="A15" i="2" s="1"/>
  <c r="A16" i="2" s="1"/>
  <c r="A17" i="2" s="1"/>
  <c r="A18" i="2" s="1"/>
  <c r="A19" i="2" s="1"/>
  <c r="A20" i="2" s="1"/>
  <c r="A21" i="2" s="1"/>
  <c r="A22" i="2" s="1"/>
  <c r="A23" i="2" s="1"/>
  <c r="D49" i="10" l="1"/>
  <c r="D56" i="10" s="1"/>
  <c r="E51" i="6"/>
  <c r="H28" i="8"/>
  <c r="I28" i="8" s="1"/>
  <c r="H27" i="8"/>
  <c r="I27" i="8" s="1"/>
  <c r="H37" i="8" s="1"/>
  <c r="I26" i="8"/>
  <c r="E16" i="11"/>
  <c r="E17" i="11" s="1"/>
  <c r="E18" i="11" s="1"/>
  <c r="E19" i="11" s="1"/>
  <c r="E20" i="11" s="1"/>
  <c r="E21" i="11" s="1"/>
  <c r="E22" i="11" s="1"/>
  <c r="E23" i="11" s="1"/>
  <c r="E24" i="11" s="1"/>
  <c r="E25" i="11" s="1"/>
  <c r="E26" i="11" s="1"/>
  <c r="E27" i="11" s="1"/>
  <c r="U7" i="10"/>
  <c r="N7" i="10" s="1"/>
  <c r="I25" i="10"/>
  <c r="D35" i="6"/>
  <c r="E46" i="6"/>
  <c r="C20" i="3" s="1"/>
  <c r="H33" i="6"/>
  <c r="D22" i="12" s="1"/>
  <c r="H38" i="8" l="1"/>
  <c r="C20" i="12"/>
  <c r="I45" i="10"/>
  <c r="F262" i="11"/>
  <c r="F247" i="11"/>
  <c r="F73" i="11"/>
  <c r="F161" i="11"/>
  <c r="F160" i="11"/>
  <c r="F145" i="11"/>
  <c r="F28" i="11"/>
  <c r="F275" i="11"/>
  <c r="F182" i="11"/>
  <c r="F310" i="11"/>
  <c r="F139" i="11"/>
  <c r="F56" i="11"/>
  <c r="F72" i="11"/>
  <c r="F318" i="11"/>
  <c r="F165" i="11"/>
  <c r="F344" i="11"/>
  <c r="F227" i="11"/>
  <c r="F124" i="11"/>
  <c r="F339" i="11"/>
  <c r="F347" i="11"/>
  <c r="F69" i="11"/>
  <c r="F306" i="11"/>
  <c r="F293" i="11"/>
  <c r="F93" i="11"/>
  <c r="F352" i="11"/>
  <c r="F147" i="11"/>
  <c r="F137" i="11"/>
  <c r="F362" i="11"/>
  <c r="F21" i="11"/>
  <c r="F221" i="11"/>
  <c r="F301" i="11"/>
  <c r="F46" i="11"/>
  <c r="F314" i="11"/>
  <c r="F315" i="11"/>
  <c r="F246" i="11"/>
  <c r="F229" i="11"/>
  <c r="F67" i="11"/>
  <c r="F236" i="11"/>
  <c r="F241" i="11"/>
  <c r="F200" i="11"/>
  <c r="F17" i="11"/>
  <c r="F113" i="11"/>
  <c r="F9" i="11"/>
  <c r="F87" i="11"/>
  <c r="F48" i="11"/>
  <c r="F38" i="11"/>
  <c r="F234" i="11"/>
  <c r="F323" i="11"/>
  <c r="F316" i="11"/>
  <c r="F83" i="11"/>
  <c r="F300" i="11"/>
  <c r="F322" i="11"/>
  <c r="F177" i="11"/>
  <c r="F328" i="11"/>
  <c r="F363" i="11"/>
  <c r="F285" i="11"/>
  <c r="F248" i="11"/>
  <c r="F50" i="11"/>
  <c r="F304" i="11"/>
  <c r="F31" i="11"/>
  <c r="F279" i="11"/>
  <c r="F360" i="11"/>
  <c r="F116" i="11"/>
  <c r="F40" i="11"/>
  <c r="F212" i="11"/>
  <c r="F62" i="11"/>
  <c r="F273" i="11"/>
  <c r="F143" i="11"/>
  <c r="F119" i="11"/>
  <c r="F245" i="11"/>
  <c r="F331" i="11"/>
  <c r="F228" i="11"/>
  <c r="F249" i="11"/>
  <c r="F92" i="11"/>
  <c r="F204" i="11"/>
  <c r="F286" i="11"/>
  <c r="F103" i="11"/>
  <c r="F76" i="11"/>
  <c r="F269" i="11"/>
  <c r="F131" i="11"/>
  <c r="F128" i="11"/>
  <c r="F226" i="11"/>
  <c r="F213" i="11"/>
  <c r="F308" i="11"/>
  <c r="F112" i="11"/>
  <c r="F99" i="11"/>
  <c r="F107" i="11"/>
  <c r="F222" i="11"/>
  <c r="F281" i="11"/>
  <c r="F22" i="11"/>
  <c r="F39" i="11"/>
  <c r="F265" i="11"/>
  <c r="F205" i="11"/>
  <c r="F24" i="11"/>
  <c r="F45" i="11"/>
  <c r="F218" i="11"/>
  <c r="F199" i="11"/>
  <c r="F96" i="11"/>
  <c r="F278" i="11"/>
  <c r="F86" i="11"/>
  <c r="F168" i="11"/>
  <c r="F239" i="11"/>
  <c r="F255" i="11"/>
  <c r="F270" i="11"/>
  <c r="F350" i="11"/>
  <c r="F98" i="11"/>
  <c r="F151" i="11"/>
  <c r="F88" i="11"/>
  <c r="F263" i="11"/>
  <c r="F13" i="11"/>
  <c r="F253" i="11"/>
  <c r="F109" i="11"/>
  <c r="F127" i="11"/>
  <c r="F231" i="11"/>
  <c r="F280" i="11"/>
  <c r="F303" i="11"/>
  <c r="F337" i="11"/>
  <c r="F357" i="11"/>
  <c r="F183" i="11"/>
  <c r="F343" i="11"/>
  <c r="F132" i="11"/>
  <c r="F309" i="11"/>
  <c r="F311" i="11"/>
  <c r="F54" i="11"/>
  <c r="F353" i="11"/>
  <c r="F320" i="11"/>
  <c r="F302" i="11"/>
  <c r="F313" i="11"/>
  <c r="F12" i="11"/>
  <c r="F100" i="11"/>
  <c r="F101" i="11"/>
  <c r="F164" i="11"/>
  <c r="F191" i="11"/>
  <c r="F184" i="11"/>
  <c r="F90" i="11"/>
  <c r="F235" i="11"/>
  <c r="F257" i="11"/>
  <c r="F187" i="11"/>
  <c r="F133" i="11"/>
  <c r="F190" i="11"/>
  <c r="F44" i="11"/>
  <c r="F207" i="11"/>
  <c r="F210" i="11"/>
  <c r="F358" i="11"/>
  <c r="F180" i="11"/>
  <c r="F33" i="11"/>
  <c r="F251" i="11"/>
  <c r="F136" i="11"/>
  <c r="F232" i="11"/>
  <c r="F198" i="11"/>
  <c r="F359" i="11"/>
  <c r="F217" i="11"/>
  <c r="F47" i="11"/>
  <c r="F118" i="11"/>
  <c r="F102" i="11"/>
  <c r="F29" i="11"/>
  <c r="F170" i="11"/>
  <c r="F49" i="11"/>
  <c r="F126" i="11"/>
  <c r="F129" i="11"/>
  <c r="F173" i="11"/>
  <c r="F254" i="11"/>
  <c r="F82" i="11"/>
  <c r="F332" i="11"/>
  <c r="F6" i="11"/>
  <c r="F214" i="11"/>
  <c r="F356" i="11"/>
  <c r="F349" i="11"/>
  <c r="F104" i="11"/>
  <c r="F30" i="11"/>
  <c r="F348" i="11"/>
  <c r="F325" i="11"/>
  <c r="F166" i="11"/>
  <c r="F111" i="11"/>
  <c r="F122" i="11"/>
  <c r="F225" i="11"/>
  <c r="F85" i="11"/>
  <c r="F27" i="11"/>
  <c r="F63" i="11"/>
  <c r="F55" i="11"/>
  <c r="F81" i="11"/>
  <c r="F188" i="11"/>
  <c r="F172" i="11"/>
  <c r="F259" i="11"/>
  <c r="F282" i="11"/>
  <c r="F345" i="11"/>
  <c r="F74" i="11"/>
  <c r="F20" i="11"/>
  <c r="F163" i="11"/>
  <c r="F244" i="11"/>
  <c r="F61" i="11"/>
  <c r="F32" i="11"/>
  <c r="F181" i="11"/>
  <c r="F106" i="11"/>
  <c r="F152" i="11"/>
  <c r="F51" i="11"/>
  <c r="F16" i="11"/>
  <c r="F289" i="11"/>
  <c r="F287" i="11"/>
  <c r="F35" i="11"/>
  <c r="F4" i="11"/>
  <c r="G4" i="11" s="1"/>
  <c r="F156" i="11"/>
  <c r="F65" i="11"/>
  <c r="F148" i="11"/>
  <c r="F202" i="11"/>
  <c r="F208" i="11"/>
  <c r="F19" i="11"/>
  <c r="F340" i="11"/>
  <c r="F206" i="11"/>
  <c r="F175" i="11"/>
  <c r="F80" i="11"/>
  <c r="F211" i="11"/>
  <c r="F354" i="11"/>
  <c r="F117" i="11"/>
  <c r="F230" i="11"/>
  <c r="F290" i="11"/>
  <c r="F215" i="11"/>
  <c r="F41" i="11"/>
  <c r="F159" i="11"/>
  <c r="F138" i="11"/>
  <c r="F149" i="11"/>
  <c r="F335" i="11"/>
  <c r="F334" i="11"/>
  <c r="F36" i="11"/>
  <c r="F108" i="11"/>
  <c r="F153" i="11"/>
  <c r="F121" i="11"/>
  <c r="F209" i="11"/>
  <c r="F330" i="11"/>
  <c r="F142" i="11"/>
  <c r="F77" i="11"/>
  <c r="F174" i="11"/>
  <c r="F346" i="11"/>
  <c r="F355" i="11"/>
  <c r="F260" i="11"/>
  <c r="F272" i="11"/>
  <c r="F258" i="11"/>
  <c r="F321" i="11"/>
  <c r="F5" i="11"/>
  <c r="F324" i="11"/>
  <c r="F89" i="11"/>
  <c r="F274" i="11"/>
  <c r="F264" i="11"/>
  <c r="F186" i="11"/>
  <c r="F26" i="11"/>
  <c r="F197" i="11"/>
  <c r="F305" i="11"/>
  <c r="F276" i="11"/>
  <c r="F14" i="11"/>
  <c r="F64" i="11"/>
  <c r="F261" i="11"/>
  <c r="F123" i="11"/>
  <c r="F95" i="11"/>
  <c r="F8" i="11"/>
  <c r="F25" i="11"/>
  <c r="F52" i="11"/>
  <c r="F220" i="11"/>
  <c r="F57" i="11"/>
  <c r="F312" i="11"/>
  <c r="F267" i="11"/>
  <c r="F162" i="11"/>
  <c r="F329" i="11"/>
  <c r="F130" i="11"/>
  <c r="F34" i="11"/>
  <c r="F10" i="11"/>
  <c r="F194" i="11"/>
  <c r="F271" i="11"/>
  <c r="F317" i="11"/>
  <c r="F75" i="11"/>
  <c r="F150" i="11"/>
  <c r="F120" i="11"/>
  <c r="F252" i="11"/>
  <c r="F154" i="11"/>
  <c r="F333" i="11"/>
  <c r="F60" i="11"/>
  <c r="F243" i="11"/>
  <c r="F268" i="11"/>
  <c r="F326" i="11"/>
  <c r="F78" i="11"/>
  <c r="F201" i="11"/>
  <c r="F233" i="11"/>
  <c r="F71" i="11"/>
  <c r="F141" i="11"/>
  <c r="F195" i="11"/>
  <c r="F237" i="11"/>
  <c r="F94" i="11"/>
  <c r="F250" i="11"/>
  <c r="F11" i="11"/>
  <c r="F84" i="11"/>
  <c r="F298" i="11"/>
  <c r="F224" i="11"/>
  <c r="F179" i="11"/>
  <c r="F158" i="11"/>
  <c r="F291" i="11"/>
  <c r="F192" i="11"/>
  <c r="F238" i="11"/>
  <c r="F135" i="11"/>
  <c r="F68" i="11"/>
  <c r="F297" i="11"/>
  <c r="F167" i="11"/>
  <c r="F105" i="11"/>
  <c r="F242" i="11"/>
  <c r="F295" i="11"/>
  <c r="F292" i="11"/>
  <c r="F203" i="11"/>
  <c r="F296" i="11"/>
  <c r="F146" i="11"/>
  <c r="F15" i="11"/>
  <c r="F37" i="11"/>
  <c r="F299" i="11"/>
  <c r="F178" i="11"/>
  <c r="F155" i="11"/>
  <c r="F42" i="11"/>
  <c r="F338" i="11"/>
  <c r="F134" i="11"/>
  <c r="F23" i="11"/>
  <c r="F79" i="11"/>
  <c r="F361" i="11"/>
  <c r="F97" i="11"/>
  <c r="F7" i="11"/>
  <c r="F351" i="11"/>
  <c r="F240" i="11"/>
  <c r="F58" i="11"/>
  <c r="F140" i="11"/>
  <c r="F125" i="11"/>
  <c r="F277" i="11"/>
  <c r="F91" i="11"/>
  <c r="F171" i="11"/>
  <c r="F288" i="11"/>
  <c r="F266" i="11"/>
  <c r="F216" i="11"/>
  <c r="F341" i="11"/>
  <c r="F185" i="11"/>
  <c r="F43" i="11"/>
  <c r="F342" i="11"/>
  <c r="F70" i="11"/>
  <c r="F144" i="11"/>
  <c r="F283" i="11"/>
  <c r="F219" i="11"/>
  <c r="F18" i="11"/>
  <c r="F284" i="11"/>
  <c r="F169" i="11"/>
  <c r="F115" i="11"/>
  <c r="F336" i="11"/>
  <c r="F176" i="11"/>
  <c r="F319" i="11"/>
  <c r="F196" i="11"/>
  <c r="F189" i="11"/>
  <c r="F294" i="11"/>
  <c r="F223" i="11"/>
  <c r="F53" i="11"/>
  <c r="F114" i="11"/>
  <c r="F193" i="11"/>
  <c r="F157" i="11"/>
  <c r="F66" i="11"/>
  <c r="F307" i="11"/>
  <c r="F256" i="11"/>
  <c r="F59" i="11"/>
  <c r="F110" i="11"/>
  <c r="F327" i="11"/>
  <c r="I27" i="10"/>
  <c r="I26" i="10"/>
  <c r="X19" i="8"/>
  <c r="Z19" i="8" s="1"/>
  <c r="X7" i="8"/>
  <c r="Z7" i="8" s="1"/>
  <c r="X18" i="8"/>
  <c r="Z18" i="8" s="1"/>
  <c r="X17" i="8"/>
  <c r="Z17" i="8" s="1"/>
  <c r="X36" i="8"/>
  <c r="X16" i="8"/>
  <c r="Z16" i="8" s="1"/>
  <c r="X35" i="8"/>
  <c r="X15" i="8"/>
  <c r="Z15" i="8" s="1"/>
  <c r="X34" i="8"/>
  <c r="X14" i="8"/>
  <c r="Z14" i="8" s="1"/>
  <c r="X33" i="8"/>
  <c r="X13" i="8"/>
  <c r="Z13" i="8" s="1"/>
  <c r="X32" i="8"/>
  <c r="X12" i="8"/>
  <c r="Z12" i="8" s="1"/>
  <c r="X31" i="8"/>
  <c r="X11" i="8"/>
  <c r="Z11" i="8" s="1"/>
  <c r="X30" i="8"/>
  <c r="X10" i="8"/>
  <c r="Z10" i="8" s="1"/>
  <c r="X29" i="8"/>
  <c r="X9" i="8"/>
  <c r="Z9" i="8" s="1"/>
  <c r="X28" i="8"/>
  <c r="X8" i="8"/>
  <c r="Z8" i="8" s="1"/>
  <c r="X27" i="8"/>
  <c r="X26" i="8"/>
  <c r="X25" i="8"/>
  <c r="X24" i="8"/>
  <c r="X23" i="8"/>
  <c r="X22" i="8"/>
  <c r="X21" i="8"/>
  <c r="Z21" i="8" s="1"/>
  <c r="X20" i="8"/>
  <c r="Z20" i="8" s="1"/>
  <c r="H25" i="10"/>
  <c r="E28" i="11"/>
  <c r="E29" i="11" s="1"/>
  <c r="E30" i="11" s="1"/>
  <c r="E31" i="11" s="1"/>
  <c r="E32" i="11" s="1"/>
  <c r="E33" i="11" s="1"/>
  <c r="E34" i="11" s="1"/>
  <c r="E35" i="11" s="1"/>
  <c r="E36" i="11" s="1"/>
  <c r="E37" i="11" s="1"/>
  <c r="E38" i="11" s="1"/>
  <c r="E39" i="11" s="1"/>
  <c r="U8" i="10"/>
  <c r="N8" i="10" s="1"/>
  <c r="H37" i="6"/>
  <c r="D40" i="6"/>
  <c r="S16" i="6" s="1"/>
  <c r="R25" i="6"/>
  <c r="R36" i="6"/>
  <c r="R31" i="6"/>
  <c r="R11" i="6"/>
  <c r="R18" i="6"/>
  <c r="R27" i="6"/>
  <c r="R19" i="6"/>
  <c r="R14" i="6"/>
  <c r="R16" i="6"/>
  <c r="R12" i="6"/>
  <c r="R35" i="6"/>
  <c r="R21" i="6"/>
  <c r="R20" i="6"/>
  <c r="R17" i="6"/>
  <c r="R26" i="6"/>
  <c r="R10" i="6"/>
  <c r="R29" i="6"/>
  <c r="R34" i="6"/>
  <c r="R8" i="6"/>
  <c r="R7" i="6"/>
  <c r="R22" i="6"/>
  <c r="R30" i="6"/>
  <c r="R32" i="6"/>
  <c r="R13" i="6"/>
  <c r="R9" i="6"/>
  <c r="R33" i="6"/>
  <c r="R23" i="6"/>
  <c r="R15" i="6"/>
  <c r="R28" i="6"/>
  <c r="R24" i="6"/>
  <c r="G5" i="11" l="1"/>
  <c r="G6" i="11" s="1"/>
  <c r="G7" i="11" s="1"/>
  <c r="G8" i="11" s="1"/>
  <c r="G9" i="11" s="1"/>
  <c r="G10" i="11" s="1"/>
  <c r="G11" i="11" s="1"/>
  <c r="G12" i="11" s="1"/>
  <c r="G13" i="11" s="1"/>
  <c r="G14" i="11" s="1"/>
  <c r="G15" i="11" s="1"/>
  <c r="G16" i="11" s="1"/>
  <c r="G17" i="11" s="1"/>
  <c r="G18" i="11" s="1"/>
  <c r="G19" i="11" s="1"/>
  <c r="G20" i="11" s="1"/>
  <c r="G21" i="11" s="1"/>
  <c r="G22" i="11" s="1"/>
  <c r="G23" i="11" s="1"/>
  <c r="G24" i="11" s="1"/>
  <c r="G25" i="11" s="1"/>
  <c r="G26" i="11" s="1"/>
  <c r="G27" i="11" s="1"/>
  <c r="G28" i="11" s="1"/>
  <c r="G29" i="11" s="1"/>
  <c r="G30" i="11" s="1"/>
  <c r="G31" i="11" s="1"/>
  <c r="G32" i="11" s="1"/>
  <c r="G33" i="11" s="1"/>
  <c r="G34" i="11" s="1"/>
  <c r="G35" i="11" s="1"/>
  <c r="G36" i="11" s="1"/>
  <c r="G37" i="11" s="1"/>
  <c r="G38" i="11" s="1"/>
  <c r="G39" i="11" s="1"/>
  <c r="G40" i="11" s="1"/>
  <c r="G41" i="11" s="1"/>
  <c r="G42" i="11" s="1"/>
  <c r="G43" i="11" s="1"/>
  <c r="G44" i="11" s="1"/>
  <c r="G45" i="11" s="1"/>
  <c r="G46" i="11" s="1"/>
  <c r="G47" i="11" s="1"/>
  <c r="G48" i="11" s="1"/>
  <c r="G49" i="11" s="1"/>
  <c r="G50" i="11" s="1"/>
  <c r="G51" i="11" s="1"/>
  <c r="G52" i="11" s="1"/>
  <c r="G53" i="11" s="1"/>
  <c r="G54" i="11" s="1"/>
  <c r="G55" i="11" s="1"/>
  <c r="G56" i="11" s="1"/>
  <c r="G57" i="11" s="1"/>
  <c r="G58" i="11" s="1"/>
  <c r="G59" i="11" s="1"/>
  <c r="G60" i="11" s="1"/>
  <c r="G61" i="11" s="1"/>
  <c r="G62" i="11" s="1"/>
  <c r="G63" i="11" s="1"/>
  <c r="G64" i="11" s="1"/>
  <c r="G65" i="11" s="1"/>
  <c r="G66" i="11" s="1"/>
  <c r="G67" i="11" s="1"/>
  <c r="G68" i="11" s="1"/>
  <c r="G69" i="11" s="1"/>
  <c r="G70" i="11" s="1"/>
  <c r="G71" i="11" s="1"/>
  <c r="G72" i="11" s="1"/>
  <c r="G73" i="11" s="1"/>
  <c r="G74" i="11" s="1"/>
  <c r="G75" i="11" s="1"/>
  <c r="G76" i="11" s="1"/>
  <c r="G77" i="11" s="1"/>
  <c r="G78" i="11" s="1"/>
  <c r="G79" i="11" s="1"/>
  <c r="G80" i="11" s="1"/>
  <c r="G81" i="11" s="1"/>
  <c r="G82" i="11" s="1"/>
  <c r="G83" i="11" s="1"/>
  <c r="G84" i="11" s="1"/>
  <c r="G85" i="11" s="1"/>
  <c r="G86" i="11" s="1"/>
  <c r="G87" i="11" s="1"/>
  <c r="G88" i="11" s="1"/>
  <c r="G89" i="11" s="1"/>
  <c r="G90" i="11" s="1"/>
  <c r="G91" i="11" s="1"/>
  <c r="G92" i="11" s="1"/>
  <c r="G93" i="11" s="1"/>
  <c r="G94" i="11" s="1"/>
  <c r="G95" i="11" s="1"/>
  <c r="G96" i="11" s="1"/>
  <c r="G97" i="11" s="1"/>
  <c r="G98" i="11" s="1"/>
  <c r="G99" i="11" s="1"/>
  <c r="G100" i="11" s="1"/>
  <c r="G101" i="11" s="1"/>
  <c r="G102" i="11" s="1"/>
  <c r="G103" i="11" s="1"/>
  <c r="G104" i="11" s="1"/>
  <c r="G105" i="11" s="1"/>
  <c r="G106" i="11" s="1"/>
  <c r="G107" i="11" s="1"/>
  <c r="G108" i="11" s="1"/>
  <c r="G109" i="11" s="1"/>
  <c r="G110" i="11" s="1"/>
  <c r="G111" i="11" s="1"/>
  <c r="G112" i="11" s="1"/>
  <c r="G113" i="11" s="1"/>
  <c r="G114" i="11" s="1"/>
  <c r="G115" i="11" s="1"/>
  <c r="G116" i="11" s="1"/>
  <c r="G117" i="11" s="1"/>
  <c r="G118" i="11" s="1"/>
  <c r="G119" i="11" s="1"/>
  <c r="G120" i="11" s="1"/>
  <c r="G121" i="11" s="1"/>
  <c r="G122" i="11" s="1"/>
  <c r="G123" i="11" s="1"/>
  <c r="G124" i="11" s="1"/>
  <c r="G125" i="11" s="1"/>
  <c r="G126" i="11" s="1"/>
  <c r="G127" i="11" s="1"/>
  <c r="G128" i="11" s="1"/>
  <c r="G129" i="11" s="1"/>
  <c r="G130" i="11" s="1"/>
  <c r="G131" i="11" s="1"/>
  <c r="G132" i="11" s="1"/>
  <c r="G133" i="11" s="1"/>
  <c r="G134" i="11" s="1"/>
  <c r="G135" i="11" s="1"/>
  <c r="G136" i="11" s="1"/>
  <c r="G137" i="11" s="1"/>
  <c r="G138" i="11" s="1"/>
  <c r="G139" i="11" s="1"/>
  <c r="G140" i="11" s="1"/>
  <c r="G141" i="11" s="1"/>
  <c r="G142" i="11" s="1"/>
  <c r="G143" i="11" s="1"/>
  <c r="G144" i="11" s="1"/>
  <c r="G145" i="11" s="1"/>
  <c r="G146" i="11" s="1"/>
  <c r="G147" i="11" s="1"/>
  <c r="G148" i="11" s="1"/>
  <c r="G149" i="11" s="1"/>
  <c r="G150" i="11" s="1"/>
  <c r="G151" i="11" s="1"/>
  <c r="G152" i="11" s="1"/>
  <c r="G153" i="11" s="1"/>
  <c r="G154" i="11" s="1"/>
  <c r="G155" i="11" s="1"/>
  <c r="G156" i="11" s="1"/>
  <c r="G157" i="11" s="1"/>
  <c r="G158" i="11" s="1"/>
  <c r="G159" i="11" s="1"/>
  <c r="G160" i="11" s="1"/>
  <c r="G161" i="11" s="1"/>
  <c r="G162" i="11" s="1"/>
  <c r="G163" i="11" s="1"/>
  <c r="G164" i="11" s="1"/>
  <c r="G165" i="11" s="1"/>
  <c r="G166" i="11" s="1"/>
  <c r="G167" i="11" s="1"/>
  <c r="G168" i="11" s="1"/>
  <c r="G169" i="11" s="1"/>
  <c r="G170" i="11" s="1"/>
  <c r="G171" i="11" s="1"/>
  <c r="G172" i="11" s="1"/>
  <c r="G173" i="11" s="1"/>
  <c r="G174" i="11" s="1"/>
  <c r="G175" i="11" s="1"/>
  <c r="G176" i="11" s="1"/>
  <c r="G177" i="11" s="1"/>
  <c r="G178" i="11" s="1"/>
  <c r="G179" i="11" s="1"/>
  <c r="G180" i="11" s="1"/>
  <c r="G181" i="11" s="1"/>
  <c r="G182" i="11" s="1"/>
  <c r="G183" i="11" s="1"/>
  <c r="H34" i="10" s="1"/>
  <c r="E21" i="12" s="1"/>
  <c r="H27" i="10"/>
  <c r="D28" i="10" s="1"/>
  <c r="H26" i="10"/>
  <c r="W25" i="10"/>
  <c r="W26" i="10"/>
  <c r="W7" i="10"/>
  <c r="W27" i="10"/>
  <c r="W8" i="10"/>
  <c r="W28" i="10"/>
  <c r="W9" i="10"/>
  <c r="W29" i="10"/>
  <c r="W10" i="10"/>
  <c r="W30" i="10"/>
  <c r="W11" i="10"/>
  <c r="W31" i="10"/>
  <c r="W12" i="10"/>
  <c r="W32" i="10"/>
  <c r="W33" i="10"/>
  <c r="W14" i="10"/>
  <c r="W34" i="10"/>
  <c r="W15" i="10"/>
  <c r="W35" i="10"/>
  <c r="W16" i="10"/>
  <c r="W36" i="10"/>
  <c r="W17" i="10"/>
  <c r="W18" i="10"/>
  <c r="W19" i="10"/>
  <c r="W20" i="10"/>
  <c r="W21" i="10"/>
  <c r="W22" i="10"/>
  <c r="W24" i="10"/>
  <c r="W23" i="10"/>
  <c r="W13" i="10"/>
  <c r="C167" i="4"/>
  <c r="B127" i="4"/>
  <c r="C355" i="4"/>
  <c r="C148" i="4"/>
  <c r="B326" i="4"/>
  <c r="B83" i="4"/>
  <c r="B268" i="4"/>
  <c r="C166" i="4"/>
  <c r="C271" i="4"/>
  <c r="B280" i="4"/>
  <c r="B71" i="4"/>
  <c r="B6" i="4"/>
  <c r="B346" i="4"/>
  <c r="C219" i="4"/>
  <c r="C259" i="4"/>
  <c r="C353" i="4"/>
  <c r="B271" i="4"/>
  <c r="C125" i="4"/>
  <c r="S18" i="6"/>
  <c r="C322" i="4"/>
  <c r="C204" i="4"/>
  <c r="C296" i="4"/>
  <c r="C295" i="4"/>
  <c r="B143" i="4"/>
  <c r="B75" i="4"/>
  <c r="B53" i="4"/>
  <c r="B112" i="4"/>
  <c r="B224" i="4"/>
  <c r="C317" i="4"/>
  <c r="B105" i="4"/>
  <c r="S23" i="6"/>
  <c r="B353" i="4"/>
  <c r="C199" i="4"/>
  <c r="B197" i="4"/>
  <c r="B341" i="4"/>
  <c r="C44" i="4"/>
  <c r="C291" i="4"/>
  <c r="C184" i="4"/>
  <c r="C258" i="4"/>
  <c r="C153" i="4"/>
  <c r="C12" i="4"/>
  <c r="C267" i="4"/>
  <c r="B347" i="4"/>
  <c r="C45" i="4"/>
  <c r="B216" i="4"/>
  <c r="B96" i="4"/>
  <c r="C15" i="4"/>
  <c r="B258" i="4"/>
  <c r="C143" i="4"/>
  <c r="B102" i="4"/>
  <c r="C26" i="4"/>
  <c r="C363" i="4"/>
  <c r="C52" i="4"/>
  <c r="C69" i="4"/>
  <c r="C361" i="4"/>
  <c r="C112" i="4"/>
  <c r="C315" i="4"/>
  <c r="C27" i="4"/>
  <c r="C334" i="4"/>
  <c r="C320" i="4"/>
  <c r="B121" i="4"/>
  <c r="C203" i="4"/>
  <c r="C193" i="4"/>
  <c r="B340" i="4"/>
  <c r="C55" i="4"/>
  <c r="C136" i="4"/>
  <c r="B362" i="4"/>
  <c r="B331" i="4"/>
  <c r="C303" i="4"/>
  <c r="C265" i="4"/>
  <c r="S20" i="6"/>
  <c r="B82" i="4"/>
  <c r="C152" i="4"/>
  <c r="B315" i="4"/>
  <c r="C4" i="4"/>
  <c r="C360" i="4"/>
  <c r="B120" i="4"/>
  <c r="B11" i="4"/>
  <c r="B261" i="4"/>
  <c r="C175" i="4"/>
  <c r="B95" i="4"/>
  <c r="C62" i="4"/>
  <c r="C302" i="4"/>
  <c r="S7" i="6"/>
  <c r="C173" i="4"/>
  <c r="B164" i="4"/>
  <c r="C326" i="4"/>
  <c r="C285" i="4"/>
  <c r="B10" i="4"/>
  <c r="C24" i="4"/>
  <c r="C83" i="4"/>
  <c r="B136" i="4"/>
  <c r="C298" i="4"/>
  <c r="S14" i="6"/>
  <c r="B253" i="4"/>
  <c r="B25" i="4"/>
  <c r="B32" i="4"/>
  <c r="C309" i="4"/>
  <c r="C161" i="4"/>
  <c r="C230" i="4"/>
  <c r="B262" i="4"/>
  <c r="B241" i="4"/>
  <c r="B281" i="4"/>
  <c r="C176" i="4"/>
  <c r="C60" i="4"/>
  <c r="C11" i="4"/>
  <c r="B259" i="4"/>
  <c r="B109" i="4"/>
  <c r="D43" i="6"/>
  <c r="E43" i="6" s="1"/>
  <c r="E45" i="6" s="1"/>
  <c r="E48" i="6" s="1"/>
  <c r="E55" i="6" s="1"/>
  <c r="H45" i="6" s="1"/>
  <c r="B295" i="4"/>
  <c r="C92" i="4"/>
  <c r="B205" i="4"/>
  <c r="B37" i="4"/>
  <c r="B245" i="4"/>
  <c r="B323" i="4"/>
  <c r="B343" i="4"/>
  <c r="B339" i="4"/>
  <c r="B77" i="4"/>
  <c r="C297" i="4"/>
  <c r="B140" i="4"/>
  <c r="B319" i="4"/>
  <c r="C66" i="4"/>
  <c r="B65" i="4"/>
  <c r="C231" i="4"/>
  <c r="C287" i="4"/>
  <c r="B137" i="4"/>
  <c r="B252" i="4"/>
  <c r="B254" i="4"/>
  <c r="B15" i="4"/>
  <c r="B46" i="4"/>
  <c r="C239" i="4"/>
  <c r="B72" i="4"/>
  <c r="B142" i="4"/>
  <c r="B356" i="4"/>
  <c r="C127" i="4"/>
  <c r="C223" i="4"/>
  <c r="B351" i="4"/>
  <c r="C40" i="4"/>
  <c r="C73" i="4"/>
  <c r="S8" i="6"/>
  <c r="B284" i="4"/>
  <c r="B276" i="4"/>
  <c r="C308" i="4"/>
  <c r="C311" i="4"/>
  <c r="B91" i="4"/>
  <c r="C293" i="4"/>
  <c r="B269" i="4"/>
  <c r="C189" i="4"/>
  <c r="C87" i="4"/>
  <c r="C67" i="4"/>
  <c r="B89" i="4"/>
  <c r="C157" i="4"/>
  <c r="C213" i="4"/>
  <c r="C163" i="4"/>
  <c r="C135" i="4"/>
  <c r="S35" i="6"/>
  <c r="B211" i="4"/>
  <c r="B100" i="4"/>
  <c r="C359" i="4"/>
  <c r="C180" i="4"/>
  <c r="C208" i="4"/>
  <c r="C236" i="4"/>
  <c r="B337" i="4"/>
  <c r="B214" i="4"/>
  <c r="B342" i="4"/>
  <c r="C123" i="4"/>
  <c r="C9" i="4"/>
  <c r="C97" i="4"/>
  <c r="S33" i="6"/>
  <c r="B151" i="4"/>
  <c r="C23" i="4"/>
  <c r="B233" i="4"/>
  <c r="C319" i="4"/>
  <c r="C299" i="4"/>
  <c r="S10" i="6"/>
  <c r="B250" i="4"/>
  <c r="C327" i="4"/>
  <c r="C159" i="4"/>
  <c r="B119" i="4"/>
  <c r="C307" i="4"/>
  <c r="B129" i="4"/>
  <c r="H43" i="8"/>
  <c r="B355" i="4"/>
  <c r="B30" i="4"/>
  <c r="B88" i="4"/>
  <c r="B195" i="4"/>
  <c r="C171" i="4"/>
  <c r="C284" i="4"/>
  <c r="C124" i="4"/>
  <c r="B345" i="4"/>
  <c r="B16" i="4"/>
  <c r="B181" i="4"/>
  <c r="C17" i="4"/>
  <c r="B180" i="4"/>
  <c r="C207" i="4"/>
  <c r="C316" i="4"/>
  <c r="C58" i="4"/>
  <c r="B154" i="4"/>
  <c r="B134" i="4"/>
  <c r="S31" i="6"/>
  <c r="B286" i="4"/>
  <c r="B231" i="4"/>
  <c r="C237" i="4"/>
  <c r="B294" i="4"/>
  <c r="B50" i="4"/>
  <c r="C226" i="4"/>
  <c r="B300" i="4"/>
  <c r="B196" i="4"/>
  <c r="B352" i="4"/>
  <c r="B320" i="4"/>
  <c r="S24" i="6"/>
  <c r="B240" i="4"/>
  <c r="C174" i="4"/>
  <c r="C42" i="4"/>
  <c r="C50" i="4"/>
  <c r="C257" i="4"/>
  <c r="S29" i="6"/>
  <c r="B158" i="4"/>
  <c r="B156" i="4"/>
  <c r="C337" i="4"/>
  <c r="C242" i="4"/>
  <c r="C206" i="4"/>
  <c r="C76" i="4"/>
  <c r="C34" i="4"/>
  <c r="C186" i="4"/>
  <c r="B183" i="4"/>
  <c r="B360" i="4"/>
  <c r="C106" i="4"/>
  <c r="C300" i="4"/>
  <c r="B328" i="4"/>
  <c r="B47" i="4"/>
  <c r="C357" i="4"/>
  <c r="B108" i="4"/>
  <c r="B153" i="4"/>
  <c r="C248" i="4"/>
  <c r="B209" i="4"/>
  <c r="B168" i="4"/>
  <c r="C89" i="4"/>
  <c r="B63" i="4"/>
  <c r="B264" i="4"/>
  <c r="B21" i="4"/>
  <c r="B225" i="4"/>
  <c r="S28" i="6"/>
  <c r="B171" i="4"/>
  <c r="C201" i="4"/>
  <c r="C352" i="4"/>
  <c r="C289" i="4"/>
  <c r="C7" i="4"/>
  <c r="C253" i="4"/>
  <c r="B43" i="4"/>
  <c r="B313" i="4"/>
  <c r="B44" i="4"/>
  <c r="C29" i="4"/>
  <c r="B22" i="4"/>
  <c r="C115" i="4"/>
  <c r="B24" i="4"/>
  <c r="C162" i="4"/>
  <c r="B242" i="4"/>
  <c r="B124" i="4"/>
  <c r="B116" i="4"/>
  <c r="B335" i="4"/>
  <c r="B93" i="4"/>
  <c r="C32" i="4"/>
  <c r="C111" i="4"/>
  <c r="B266" i="4"/>
  <c r="B60" i="4"/>
  <c r="C98" i="4"/>
  <c r="B20" i="4"/>
  <c r="B45" i="4"/>
  <c r="C25" i="4"/>
  <c r="B229" i="4"/>
  <c r="B122" i="4"/>
  <c r="B178" i="4"/>
  <c r="B306" i="4"/>
  <c r="S32" i="6"/>
  <c r="B34" i="4"/>
  <c r="B279" i="4"/>
  <c r="C38" i="4"/>
  <c r="B5" i="4"/>
  <c r="B132" i="4"/>
  <c r="C211" i="4"/>
  <c r="C263" i="4"/>
  <c r="C160" i="4"/>
  <c r="C288" i="4"/>
  <c r="C356" i="4"/>
  <c r="C275" i="4"/>
  <c r="B29" i="4"/>
  <c r="B55" i="4"/>
  <c r="B28" i="4"/>
  <c r="B324" i="4"/>
  <c r="B148" i="4"/>
  <c r="B204" i="4"/>
  <c r="B309" i="4"/>
  <c r="B222" i="4"/>
  <c r="B237" i="4"/>
  <c r="C305" i="4"/>
  <c r="B223" i="4"/>
  <c r="B321" i="4"/>
  <c r="B212" i="4"/>
  <c r="B220" i="4"/>
  <c r="C36" i="4"/>
  <c r="C268" i="4"/>
  <c r="C110" i="4"/>
  <c r="C350" i="4"/>
  <c r="B160" i="4"/>
  <c r="C282" i="4"/>
  <c r="C286" i="4"/>
  <c r="B169" i="4"/>
  <c r="C183" i="4"/>
  <c r="B98" i="4"/>
  <c r="B19" i="4"/>
  <c r="B357" i="4"/>
  <c r="B61" i="4"/>
  <c r="C304" i="4"/>
  <c r="C210" i="4"/>
  <c r="B176" i="4"/>
  <c r="C146" i="4"/>
  <c r="B208" i="4"/>
  <c r="B226" i="4"/>
  <c r="B334" i="4"/>
  <c r="C238" i="4"/>
  <c r="C273" i="4"/>
  <c r="C196" i="4"/>
  <c r="B260" i="4"/>
  <c r="B221" i="4"/>
  <c r="B182" i="4"/>
  <c r="B251" i="4"/>
  <c r="B296" i="4"/>
  <c r="B297" i="4"/>
  <c r="B62" i="4"/>
  <c r="B193" i="4"/>
  <c r="C117" i="4"/>
  <c r="B31" i="4"/>
  <c r="C252" i="4"/>
  <c r="C86" i="4"/>
  <c r="C228" i="4"/>
  <c r="B186" i="4"/>
  <c r="C169" i="4"/>
  <c r="C140" i="4"/>
  <c r="B307" i="4"/>
  <c r="B152" i="4"/>
  <c r="C33" i="4"/>
  <c r="C105" i="4"/>
  <c r="C70" i="4"/>
  <c r="C224" i="4"/>
  <c r="C118" i="4"/>
  <c r="S25" i="6"/>
  <c r="C47" i="4"/>
  <c r="B283" i="4"/>
  <c r="C274" i="4"/>
  <c r="B92" i="4"/>
  <c r="C235" i="4"/>
  <c r="B198" i="4"/>
  <c r="B219" i="4"/>
  <c r="B246" i="4"/>
  <c r="C39" i="4"/>
  <c r="C14" i="4"/>
  <c r="C145" i="4"/>
  <c r="C142" i="4"/>
  <c r="B113" i="4"/>
  <c r="B359" i="4"/>
  <c r="B35" i="4"/>
  <c r="B230" i="4"/>
  <c r="C338" i="4"/>
  <c r="B305" i="4"/>
  <c r="C187" i="4"/>
  <c r="B86" i="4"/>
  <c r="B287" i="4"/>
  <c r="C82" i="4"/>
  <c r="B49" i="4"/>
  <c r="B236" i="4"/>
  <c r="B257" i="4"/>
  <c r="B94" i="4"/>
  <c r="B304" i="4"/>
  <c r="C109" i="4"/>
  <c r="S36" i="6"/>
  <c r="C200" i="4"/>
  <c r="B265" i="4"/>
  <c r="C294" i="4"/>
  <c r="C260" i="4"/>
  <c r="B41" i="4"/>
  <c r="B202" i="4"/>
  <c r="C35" i="4"/>
  <c r="C225" i="4"/>
  <c r="C99" i="4"/>
  <c r="C56" i="4"/>
  <c r="B59" i="4"/>
  <c r="C37" i="4"/>
  <c r="B117" i="4"/>
  <c r="C137" i="4"/>
  <c r="B125" i="4"/>
  <c r="C132" i="4"/>
  <c r="C261" i="4"/>
  <c r="C216" i="4"/>
  <c r="C240" i="4"/>
  <c r="S19" i="6"/>
  <c r="B78" i="4"/>
  <c r="B74" i="4"/>
  <c r="B179" i="4"/>
  <c r="C88" i="4"/>
  <c r="S17" i="6"/>
  <c r="C141" i="4"/>
  <c r="C120" i="4"/>
  <c r="C272" i="4"/>
  <c r="C80" i="4"/>
  <c r="C95" i="4"/>
  <c r="B13" i="4"/>
  <c r="B111" i="4"/>
  <c r="C241" i="4"/>
  <c r="C254" i="4"/>
  <c r="C330" i="4"/>
  <c r="C229" i="4"/>
  <c r="C250" i="4"/>
  <c r="C331" i="4"/>
  <c r="C188" i="4"/>
  <c r="B338" i="4"/>
  <c r="B332" i="4"/>
  <c r="B126" i="4"/>
  <c r="C71" i="4"/>
  <c r="C28" i="4"/>
  <c r="B206" i="4"/>
  <c r="C114" i="4"/>
  <c r="B201" i="4"/>
  <c r="B162" i="4"/>
  <c r="C30" i="4"/>
  <c r="S12" i="6"/>
  <c r="C220" i="4"/>
  <c r="C151" i="4"/>
  <c r="B147" i="4"/>
  <c r="C349" i="4"/>
  <c r="C134" i="4"/>
  <c r="B36" i="4"/>
  <c r="B69" i="4"/>
  <c r="B191" i="4"/>
  <c r="C96" i="4"/>
  <c r="C262" i="4"/>
  <c r="C306" i="4"/>
  <c r="C313" i="4"/>
  <c r="C264" i="4"/>
  <c r="B146" i="4"/>
  <c r="B42" i="4"/>
  <c r="B228" i="4"/>
  <c r="C178" i="4"/>
  <c r="C121" i="4"/>
  <c r="C144" i="4"/>
  <c r="C179" i="4"/>
  <c r="C197" i="4"/>
  <c r="B277" i="4"/>
  <c r="B325" i="4"/>
  <c r="C85" i="4"/>
  <c r="C72" i="4"/>
  <c r="C49" i="4"/>
  <c r="C172" i="4"/>
  <c r="B314" i="4"/>
  <c r="B278" i="4"/>
  <c r="B192" i="4"/>
  <c r="C251" i="4"/>
  <c r="S26" i="6"/>
  <c r="C218" i="4"/>
  <c r="C181" i="4"/>
  <c r="B145" i="4"/>
  <c r="C165" i="4"/>
  <c r="B185" i="4"/>
  <c r="B135" i="4"/>
  <c r="C212" i="4"/>
  <c r="B175" i="4"/>
  <c r="C351" i="4"/>
  <c r="C53" i="4"/>
  <c r="C278" i="4"/>
  <c r="B70" i="4"/>
  <c r="B51" i="4"/>
  <c r="B273" i="4"/>
  <c r="B301" i="4"/>
  <c r="C321" i="4"/>
  <c r="C310" i="4"/>
  <c r="C191" i="4"/>
  <c r="C346" i="4"/>
  <c r="B232" i="4"/>
  <c r="C57" i="4"/>
  <c r="C279" i="4"/>
  <c r="C22" i="4"/>
  <c r="C48" i="4"/>
  <c r="B322" i="4"/>
  <c r="C190" i="4"/>
  <c r="B275" i="4"/>
  <c r="C93" i="4"/>
  <c r="C232" i="4"/>
  <c r="B40" i="4"/>
  <c r="B144" i="4"/>
  <c r="B330" i="4"/>
  <c r="B118" i="4"/>
  <c r="B115" i="4"/>
  <c r="C358" i="4"/>
  <c r="B33" i="4"/>
  <c r="B350" i="4"/>
  <c r="B138" i="4"/>
  <c r="C221" i="4"/>
  <c r="B289" i="4"/>
  <c r="B310" i="4"/>
  <c r="B85" i="4"/>
  <c r="B354" i="4"/>
  <c r="B4" i="4"/>
  <c r="C94" i="4"/>
  <c r="B263" i="4"/>
  <c r="C340" i="4"/>
  <c r="B167" i="4"/>
  <c r="C269" i="4"/>
  <c r="B239" i="4"/>
  <c r="C215" i="4"/>
  <c r="B217" i="4"/>
  <c r="B194" i="4"/>
  <c r="C325" i="4"/>
  <c r="C8" i="4"/>
  <c r="B128" i="4"/>
  <c r="C247" i="4"/>
  <c r="C341" i="4"/>
  <c r="B270" i="4"/>
  <c r="C131" i="4"/>
  <c r="B26" i="4"/>
  <c r="B358" i="4"/>
  <c r="C78" i="4"/>
  <c r="B344" i="4"/>
  <c r="B56" i="4"/>
  <c r="B139" i="4"/>
  <c r="B48" i="4"/>
  <c r="B76" i="4"/>
  <c r="C65" i="4"/>
  <c r="B292" i="4"/>
  <c r="B333" i="4"/>
  <c r="C150" i="4"/>
  <c r="C185" i="4"/>
  <c r="C217" i="4"/>
  <c r="B285" i="4"/>
  <c r="B170" i="4"/>
  <c r="B244" i="4"/>
  <c r="B150" i="4"/>
  <c r="B336" i="4"/>
  <c r="C318" i="4"/>
  <c r="B282" i="4"/>
  <c r="C147" i="4"/>
  <c r="C332" i="4"/>
  <c r="C5" i="4"/>
  <c r="C68" i="4"/>
  <c r="B107" i="4"/>
  <c r="C243" i="4"/>
  <c r="C149" i="4"/>
  <c r="B58" i="4"/>
  <c r="C323" i="4"/>
  <c r="B190" i="4"/>
  <c r="B291" i="4"/>
  <c r="B349" i="4"/>
  <c r="C222" i="4"/>
  <c r="B213" i="4"/>
  <c r="C343" i="4"/>
  <c r="B68" i="4"/>
  <c r="B348" i="4"/>
  <c r="C102" i="4"/>
  <c r="C20" i="4"/>
  <c r="C51" i="4"/>
  <c r="B311" i="4"/>
  <c r="C130" i="4"/>
  <c r="C202" i="4"/>
  <c r="C91" i="4"/>
  <c r="C347" i="4"/>
  <c r="C209" i="4"/>
  <c r="B104" i="4"/>
  <c r="B238" i="4"/>
  <c r="C16" i="4"/>
  <c r="C266" i="4"/>
  <c r="B290" i="4"/>
  <c r="B247" i="4"/>
  <c r="B130" i="4"/>
  <c r="B114" i="4"/>
  <c r="B235" i="4"/>
  <c r="B318" i="4"/>
  <c r="B97" i="4"/>
  <c r="C198" i="4"/>
  <c r="B67" i="4"/>
  <c r="B23" i="4"/>
  <c r="C182" i="4"/>
  <c r="C333" i="4"/>
  <c r="C77" i="4"/>
  <c r="B27" i="4"/>
  <c r="C21" i="4"/>
  <c r="C103" i="4"/>
  <c r="C280" i="4"/>
  <c r="B90" i="4"/>
  <c r="C276" i="4"/>
  <c r="B106" i="4"/>
  <c r="B81" i="4"/>
  <c r="B38" i="4"/>
  <c r="B177" i="4"/>
  <c r="B361" i="4"/>
  <c r="C79" i="4"/>
  <c r="B166" i="4"/>
  <c r="B110" i="4"/>
  <c r="C81" i="4"/>
  <c r="B73" i="4"/>
  <c r="B299" i="4"/>
  <c r="C113" i="4"/>
  <c r="D113" i="4" s="1"/>
  <c r="B8" i="4"/>
  <c r="C133" i="4"/>
  <c r="C13" i="4"/>
  <c r="C63" i="4"/>
  <c r="B188" i="4"/>
  <c r="C256" i="4"/>
  <c r="S22" i="6"/>
  <c r="B363" i="4"/>
  <c r="B18" i="4"/>
  <c r="B234" i="4"/>
  <c r="B249" i="4"/>
  <c r="B54" i="4"/>
  <c r="C46" i="4"/>
  <c r="C31" i="4"/>
  <c r="C336" i="4"/>
  <c r="B308" i="4"/>
  <c r="B66" i="4"/>
  <c r="B255" i="4"/>
  <c r="C104" i="4"/>
  <c r="B288" i="4"/>
  <c r="S11" i="6"/>
  <c r="B161" i="4"/>
  <c r="B57" i="4"/>
  <c r="B248" i="4"/>
  <c r="C155" i="4"/>
  <c r="B256" i="4"/>
  <c r="B101" i="4"/>
  <c r="C6" i="4"/>
  <c r="B133" i="4"/>
  <c r="S9" i="6"/>
  <c r="C75" i="4"/>
  <c r="C312" i="4"/>
  <c r="C292" i="4"/>
  <c r="C168" i="4"/>
  <c r="B14" i="4"/>
  <c r="C129" i="4"/>
  <c r="C43" i="4"/>
  <c r="B99" i="4"/>
  <c r="B173" i="4"/>
  <c r="B199" i="4"/>
  <c r="B79" i="4"/>
  <c r="C339" i="4"/>
  <c r="C59" i="4"/>
  <c r="B274" i="4"/>
  <c r="B184" i="4"/>
  <c r="B7" i="4"/>
  <c r="C344" i="4"/>
  <c r="B272" i="4"/>
  <c r="C119" i="4"/>
  <c r="B149" i="4"/>
  <c r="S15" i="6"/>
  <c r="C328" i="4"/>
  <c r="B218" i="4"/>
  <c r="B172" i="4"/>
  <c r="B103" i="4"/>
  <c r="B302" i="4"/>
  <c r="B215" i="4"/>
  <c r="C158" i="4"/>
  <c r="B200" i="4"/>
  <c r="S13" i="6"/>
  <c r="B243" i="4"/>
  <c r="C362" i="4"/>
  <c r="B9" i="4"/>
  <c r="C283" i="4"/>
  <c r="C156" i="4"/>
  <c r="C234" i="4"/>
  <c r="B39" i="4"/>
  <c r="C10" i="4"/>
  <c r="C128" i="4"/>
  <c r="B84" i="4"/>
  <c r="C170" i="4"/>
  <c r="B316" i="4"/>
  <c r="C100" i="4"/>
  <c r="C107" i="4"/>
  <c r="C122" i="4"/>
  <c r="C64" i="4"/>
  <c r="B293" i="4"/>
  <c r="B187" i="4"/>
  <c r="B159" i="4"/>
  <c r="B298" i="4"/>
  <c r="B123" i="4"/>
  <c r="C348" i="4"/>
  <c r="C61" i="4"/>
  <c r="B189" i="4"/>
  <c r="B87" i="4"/>
  <c r="C329" i="4"/>
  <c r="C18" i="3"/>
  <c r="C21" i="3" s="1"/>
  <c r="C23" i="3" s="1"/>
  <c r="C28" i="3" s="1"/>
  <c r="D36" i="10" s="1"/>
  <c r="B52" i="4"/>
  <c r="S27" i="6"/>
  <c r="C108" i="4"/>
  <c r="C214" i="4"/>
  <c r="B317" i="4"/>
  <c r="B207" i="4"/>
  <c r="B203" i="4"/>
  <c r="B17" i="4"/>
  <c r="B12" i="4"/>
  <c r="B327" i="4"/>
  <c r="B157" i="4"/>
  <c r="S21" i="6"/>
  <c r="C101" i="4"/>
  <c r="C154" i="4"/>
  <c r="C233" i="4"/>
  <c r="C195" i="4"/>
  <c r="C54" i="4"/>
  <c r="B131" i="4"/>
  <c r="B174" i="4"/>
  <c r="C194" i="4"/>
  <c r="C249" i="4"/>
  <c r="B163" i="4"/>
  <c r="B267" i="4"/>
  <c r="C324" i="4"/>
  <c r="C177" i="4"/>
  <c r="B80" i="4"/>
  <c r="C84" i="4"/>
  <c r="B165" i="4"/>
  <c r="C255" i="4"/>
  <c r="C18" i="4"/>
  <c r="C74" i="4"/>
  <c r="C301" i="4"/>
  <c r="C244" i="4"/>
  <c r="S34" i="6"/>
  <c r="C281" i="4"/>
  <c r="B155" i="4"/>
  <c r="C164" i="4"/>
  <c r="B312" i="4"/>
  <c r="B329" i="4"/>
  <c r="B303" i="4"/>
  <c r="C227" i="4"/>
  <c r="B227" i="4"/>
  <c r="C335" i="4"/>
  <c r="C90" i="4"/>
  <c r="B210" i="4"/>
  <c r="C192" i="4"/>
  <c r="B64" i="4"/>
  <c r="C342" i="4"/>
  <c r="B141" i="4"/>
  <c r="C246" i="4"/>
  <c r="C270" i="4"/>
  <c r="C116" i="4"/>
  <c r="C205" i="4"/>
  <c r="C277" i="4"/>
  <c r="C314" i="4"/>
  <c r="C138" i="4"/>
  <c r="C139" i="4"/>
  <c r="C19" i="4"/>
  <c r="S30" i="6"/>
  <c r="C126" i="4"/>
  <c r="C354" i="4"/>
  <c r="C345" i="4"/>
  <c r="C245" i="4"/>
  <c r="C41" i="4"/>
  <c r="C290" i="4"/>
  <c r="E40" i="11"/>
  <c r="E41" i="11" s="1"/>
  <c r="E42" i="11" s="1"/>
  <c r="E43" i="11" s="1"/>
  <c r="E44" i="11" s="1"/>
  <c r="E45" i="11" s="1"/>
  <c r="E46" i="11" s="1"/>
  <c r="E47" i="11" s="1"/>
  <c r="E48" i="11" s="1"/>
  <c r="E49" i="11" s="1"/>
  <c r="E50" i="11" s="1"/>
  <c r="E51" i="11" s="1"/>
  <c r="U9" i="10"/>
  <c r="N9" i="10" s="1"/>
  <c r="T13" i="6"/>
  <c r="V13" i="6" s="1"/>
  <c r="T19" i="6"/>
  <c r="V19" i="6" s="1"/>
  <c r="T14" i="6"/>
  <c r="V14" i="6" s="1"/>
  <c r="T16" i="6"/>
  <c r="V16" i="6" s="1"/>
  <c r="T12" i="6"/>
  <c r="V12" i="6" s="1"/>
  <c r="T8" i="6"/>
  <c r="V8" i="6" s="1"/>
  <c r="T28" i="6"/>
  <c r="V28" i="6" s="1"/>
  <c r="T9" i="6"/>
  <c r="V9" i="6" s="1"/>
  <c r="T11" i="6"/>
  <c r="V11" i="6" s="1"/>
  <c r="T31" i="6"/>
  <c r="V31" i="6" s="1"/>
  <c r="T10" i="6"/>
  <c r="V10" i="6" s="1"/>
  <c r="T29" i="6"/>
  <c r="V29" i="6" s="1"/>
  <c r="T34" i="6"/>
  <c r="V34" i="6" s="1"/>
  <c r="T21" i="6"/>
  <c r="T30" i="6"/>
  <c r="V30" i="6" s="1"/>
  <c r="T22" i="6"/>
  <c r="V22" i="6" s="1"/>
  <c r="T7" i="6"/>
  <c r="V7" i="6" s="1"/>
  <c r="T26" i="6"/>
  <c r="V26" i="6" s="1"/>
  <c r="T18" i="6"/>
  <c r="V18" i="6" s="1"/>
  <c r="T32" i="6"/>
  <c r="V32" i="6" s="1"/>
  <c r="T17" i="6"/>
  <c r="V17" i="6" s="1"/>
  <c r="T24" i="6"/>
  <c r="V24" i="6" s="1"/>
  <c r="T33" i="6"/>
  <c r="V33" i="6" s="1"/>
  <c r="T20" i="6"/>
  <c r="V20" i="6" s="1"/>
  <c r="T27" i="6"/>
  <c r="V27" i="6" s="1"/>
  <c r="T15" i="6"/>
  <c r="V15" i="6" s="1"/>
  <c r="T25" i="6"/>
  <c r="V25" i="6" s="1"/>
  <c r="T35" i="6"/>
  <c r="V35" i="6" s="1"/>
  <c r="T36" i="6"/>
  <c r="V36" i="6" s="1"/>
  <c r="T23" i="6"/>
  <c r="V23" i="6" s="1"/>
  <c r="D357" i="4" l="1"/>
  <c r="V21" i="6"/>
  <c r="D92" i="4"/>
  <c r="D57" i="4"/>
  <c r="D263" i="4"/>
  <c r="D304" i="4"/>
  <c r="D121" i="4"/>
  <c r="D324" i="4"/>
  <c r="D347" i="4"/>
  <c r="D5" i="4"/>
  <c r="D340" i="4"/>
  <c r="D30" i="4"/>
  <c r="D88" i="4"/>
  <c r="D158" i="4"/>
  <c r="D202" i="4"/>
  <c r="D281" i="4"/>
  <c r="D69" i="4"/>
  <c r="D72" i="4"/>
  <c r="D167" i="4"/>
  <c r="D95" i="4"/>
  <c r="D31" i="8"/>
  <c r="C29" i="12"/>
  <c r="D326" i="4"/>
  <c r="D349" i="4"/>
  <c r="D250" i="4"/>
  <c r="D44" i="4"/>
  <c r="D219" i="4"/>
  <c r="D151" i="4"/>
  <c r="D164" i="4"/>
  <c r="D91" i="4"/>
  <c r="D361" i="4"/>
  <c r="D245" i="4"/>
  <c r="D345" i="4"/>
  <c r="D231" i="4"/>
  <c r="D343" i="4"/>
  <c r="D303" i="4"/>
  <c r="E28" i="12"/>
  <c r="D27" i="10"/>
  <c r="G184" i="11"/>
  <c r="G185" i="11" s="1"/>
  <c r="G186" i="11" s="1"/>
  <c r="G187" i="11" s="1"/>
  <c r="G188" i="11" s="1"/>
  <c r="G189" i="11" s="1"/>
  <c r="G190" i="11" s="1"/>
  <c r="G191" i="11" s="1"/>
  <c r="G192" i="11" s="1"/>
  <c r="G193" i="11" s="1"/>
  <c r="G194" i="11" s="1"/>
  <c r="G195" i="11" s="1"/>
  <c r="G196" i="11" s="1"/>
  <c r="G197" i="11" s="1"/>
  <c r="G198" i="11" s="1"/>
  <c r="G199" i="11" s="1"/>
  <c r="G200" i="11" s="1"/>
  <c r="G201" i="11" s="1"/>
  <c r="G202" i="11" s="1"/>
  <c r="G203" i="11" s="1"/>
  <c r="G204" i="11" s="1"/>
  <c r="G205" i="11" s="1"/>
  <c r="G206" i="11" s="1"/>
  <c r="G207" i="11" s="1"/>
  <c r="G208" i="11" s="1"/>
  <c r="G209" i="11" s="1"/>
  <c r="G210" i="11" s="1"/>
  <c r="G211" i="11" s="1"/>
  <c r="G212" i="11" s="1"/>
  <c r="G213" i="11" s="1"/>
  <c r="G214" i="11" s="1"/>
  <c r="G215" i="11" s="1"/>
  <c r="G216" i="11" s="1"/>
  <c r="G217" i="11" s="1"/>
  <c r="G218" i="11" s="1"/>
  <c r="G219" i="11" s="1"/>
  <c r="G220" i="11" s="1"/>
  <c r="G221" i="11" s="1"/>
  <c r="G222" i="11" s="1"/>
  <c r="G223" i="11" s="1"/>
  <c r="G224" i="11" s="1"/>
  <c r="G225" i="11" s="1"/>
  <c r="G226" i="11" s="1"/>
  <c r="G227" i="11" s="1"/>
  <c r="G228" i="11" s="1"/>
  <c r="G229" i="11" s="1"/>
  <c r="G230" i="11" s="1"/>
  <c r="G231" i="11" s="1"/>
  <c r="G232" i="11" s="1"/>
  <c r="G233" i="11" s="1"/>
  <c r="G234" i="11" s="1"/>
  <c r="G235" i="11" s="1"/>
  <c r="G236" i="11" s="1"/>
  <c r="G237" i="11" s="1"/>
  <c r="G238" i="11" s="1"/>
  <c r="G239" i="11" s="1"/>
  <c r="G240" i="11" s="1"/>
  <c r="G241" i="11" s="1"/>
  <c r="G242" i="11" s="1"/>
  <c r="G243" i="11" s="1"/>
  <c r="G244" i="11" s="1"/>
  <c r="G245" i="11" s="1"/>
  <c r="G246" i="11" s="1"/>
  <c r="G247" i="11" s="1"/>
  <c r="G248" i="11" s="1"/>
  <c r="G249" i="11" s="1"/>
  <c r="G250" i="11" s="1"/>
  <c r="G251" i="11" s="1"/>
  <c r="G252" i="11" s="1"/>
  <c r="G253" i="11" s="1"/>
  <c r="G254" i="11" s="1"/>
  <c r="G255" i="11" s="1"/>
  <c r="G256" i="11" s="1"/>
  <c r="G257" i="11" s="1"/>
  <c r="G258" i="11" s="1"/>
  <c r="G259" i="11" s="1"/>
  <c r="G260" i="11" s="1"/>
  <c r="G261" i="11" s="1"/>
  <c r="G262" i="11" s="1"/>
  <c r="G263" i="11" s="1"/>
  <c r="G264" i="11" s="1"/>
  <c r="G265" i="11" s="1"/>
  <c r="G266" i="11" s="1"/>
  <c r="G267" i="11" s="1"/>
  <c r="G268" i="11" s="1"/>
  <c r="G269" i="11" s="1"/>
  <c r="G270" i="11" s="1"/>
  <c r="G271" i="11" s="1"/>
  <c r="G272" i="11" s="1"/>
  <c r="G273" i="11" s="1"/>
  <c r="G274" i="11" s="1"/>
  <c r="G275" i="11" s="1"/>
  <c r="G276" i="11" s="1"/>
  <c r="G277" i="11" s="1"/>
  <c r="G278" i="11" s="1"/>
  <c r="G279" i="11" s="1"/>
  <c r="G280" i="11" s="1"/>
  <c r="G281" i="11" s="1"/>
  <c r="G282" i="11" s="1"/>
  <c r="G283" i="11" s="1"/>
  <c r="G284" i="11" s="1"/>
  <c r="G285" i="11" s="1"/>
  <c r="G286" i="11" s="1"/>
  <c r="G287" i="11" s="1"/>
  <c r="G288" i="11" s="1"/>
  <c r="G289" i="11" s="1"/>
  <c r="G290" i="11" s="1"/>
  <c r="G291" i="11" s="1"/>
  <c r="G292" i="11" s="1"/>
  <c r="G293" i="11" s="1"/>
  <c r="G294" i="11" s="1"/>
  <c r="G295" i="11" s="1"/>
  <c r="G296" i="11" s="1"/>
  <c r="G297" i="11" s="1"/>
  <c r="G298" i="11" s="1"/>
  <c r="G299" i="11" s="1"/>
  <c r="G300" i="11" s="1"/>
  <c r="G301" i="11" s="1"/>
  <c r="G302" i="11" s="1"/>
  <c r="G303" i="11" s="1"/>
  <c r="G304" i="11" s="1"/>
  <c r="G305" i="11" s="1"/>
  <c r="G306" i="11" s="1"/>
  <c r="G307" i="11" s="1"/>
  <c r="G308" i="11" s="1"/>
  <c r="G309" i="11" s="1"/>
  <c r="G310" i="11" s="1"/>
  <c r="G311" i="11" s="1"/>
  <c r="G312" i="11" s="1"/>
  <c r="G313" i="11" s="1"/>
  <c r="G314" i="11" s="1"/>
  <c r="G315" i="11" s="1"/>
  <c r="G316" i="11" s="1"/>
  <c r="G317" i="11" s="1"/>
  <c r="G318" i="11" s="1"/>
  <c r="G319" i="11" s="1"/>
  <c r="G320" i="11" s="1"/>
  <c r="G321" i="11" s="1"/>
  <c r="G322" i="11" s="1"/>
  <c r="G323" i="11" s="1"/>
  <c r="G324" i="11" s="1"/>
  <c r="G325" i="11" s="1"/>
  <c r="G326" i="11" s="1"/>
  <c r="G327" i="11" s="1"/>
  <c r="G328" i="11" s="1"/>
  <c r="G329" i="11" s="1"/>
  <c r="G330" i="11" s="1"/>
  <c r="G331" i="11" s="1"/>
  <c r="G332" i="11" s="1"/>
  <c r="G333" i="11" s="1"/>
  <c r="G334" i="11" s="1"/>
  <c r="G335" i="11" s="1"/>
  <c r="G336" i="11" s="1"/>
  <c r="G337" i="11" s="1"/>
  <c r="G338" i="11" s="1"/>
  <c r="G339" i="11" s="1"/>
  <c r="G340" i="11" s="1"/>
  <c r="G341" i="11" s="1"/>
  <c r="G342" i="11" s="1"/>
  <c r="G343" i="11" s="1"/>
  <c r="G344" i="11" s="1"/>
  <c r="G345" i="11" s="1"/>
  <c r="G346" i="11" s="1"/>
  <c r="G347" i="11" s="1"/>
  <c r="G348" i="11" s="1"/>
  <c r="G349" i="11" s="1"/>
  <c r="G350" i="11" s="1"/>
  <c r="G351" i="11" s="1"/>
  <c r="G352" i="11" s="1"/>
  <c r="G353" i="11" s="1"/>
  <c r="G354" i="11" s="1"/>
  <c r="G355" i="11" s="1"/>
  <c r="G356" i="11" s="1"/>
  <c r="G357" i="11" s="1"/>
  <c r="G358" i="11" s="1"/>
  <c r="G359" i="11" s="1"/>
  <c r="G360" i="11" s="1"/>
  <c r="G361" i="11" s="1"/>
  <c r="G362" i="11" s="1"/>
  <c r="G363" i="11" s="1"/>
  <c r="H37" i="10"/>
  <c r="D352" i="4"/>
  <c r="D74" i="4"/>
  <c r="D64" i="4"/>
  <c r="D341" i="4"/>
  <c r="D309" i="4"/>
  <c r="D315" i="4"/>
  <c r="D291" i="4"/>
  <c r="D82" i="4"/>
  <c r="D344" i="4"/>
  <c r="D238" i="4"/>
  <c r="D197" i="4"/>
  <c r="D13" i="4"/>
  <c r="D286" i="4"/>
  <c r="D15" i="4"/>
  <c r="D143" i="4"/>
  <c r="D139" i="4"/>
  <c r="D104" i="4"/>
  <c r="D93" i="4"/>
  <c r="D179" i="4"/>
  <c r="D282" i="4"/>
  <c r="D60" i="4"/>
  <c r="D355" i="4"/>
  <c r="D337" i="4"/>
  <c r="D356" i="4"/>
  <c r="D42" i="4"/>
  <c r="D246" i="4"/>
  <c r="D327" i="4"/>
  <c r="D198" i="4"/>
  <c r="D223" i="4"/>
  <c r="D66" i="4"/>
  <c r="D332" i="4"/>
  <c r="D78" i="4"/>
  <c r="D12" i="4"/>
  <c r="D302" i="4"/>
  <c r="D129" i="4"/>
  <c r="D308" i="4"/>
  <c r="D348" i="4"/>
  <c r="D262" i="4"/>
  <c r="D176" i="4"/>
  <c r="D77" i="4"/>
  <c r="D203" i="4"/>
  <c r="D33" i="4"/>
  <c r="D218" i="4"/>
  <c r="D358" i="4"/>
  <c r="D127" i="4"/>
  <c r="D204" i="4"/>
  <c r="D134" i="4"/>
  <c r="D319" i="4"/>
  <c r="D153" i="4"/>
  <c r="D11" i="4"/>
  <c r="D166" i="4"/>
  <c r="D271" i="4"/>
  <c r="D181" i="4"/>
  <c r="D236" i="4"/>
  <c r="D148" i="4"/>
  <c r="D37" i="4"/>
  <c r="D346" i="4"/>
  <c r="D351" i="4"/>
  <c r="D360" i="4"/>
  <c r="D259" i="4"/>
  <c r="D105" i="4"/>
  <c r="D228" i="4"/>
  <c r="D280" i="4"/>
  <c r="D55" i="4"/>
  <c r="D38" i="4"/>
  <c r="D320" i="4"/>
  <c r="D353" i="4"/>
  <c r="D126" i="4"/>
  <c r="D83" i="4"/>
  <c r="D39" i="4"/>
  <c r="D58" i="4"/>
  <c r="D86" i="4"/>
  <c r="D251" i="4"/>
  <c r="D175" i="4"/>
  <c r="D331" i="4"/>
  <c r="D258" i="4"/>
  <c r="D87" i="4"/>
  <c r="D184" i="4"/>
  <c r="D188" i="4"/>
  <c r="D209" i="4"/>
  <c r="D305" i="4"/>
  <c r="D50" i="4"/>
  <c r="D112" i="4"/>
  <c r="D135" i="4"/>
  <c r="D27" i="4"/>
  <c r="D322" i="4"/>
  <c r="D120" i="4"/>
  <c r="D32" i="4"/>
  <c r="D339" i="4"/>
  <c r="D4" i="4"/>
  <c r="D273" i="4"/>
  <c r="D268" i="4"/>
  <c r="D79" i="4"/>
  <c r="D130" i="4"/>
  <c r="D145" i="4"/>
  <c r="D199" i="4"/>
  <c r="D71" i="4"/>
  <c r="D189" i="4"/>
  <c r="D56" i="4"/>
  <c r="D65" i="4"/>
  <c r="D299" i="4"/>
  <c r="D157" i="4"/>
  <c r="D99" i="4"/>
  <c r="D255" i="4"/>
  <c r="D73" i="4"/>
  <c r="D208" i="4"/>
  <c r="D321" i="4"/>
  <c r="D140" i="4"/>
  <c r="D269" i="4"/>
  <c r="D293" i="4"/>
  <c r="D97" i="4"/>
  <c r="D342" i="4"/>
  <c r="D317" i="4"/>
  <c r="D214" i="4"/>
  <c r="D75" i="4"/>
  <c r="D247" i="4"/>
  <c r="D185" i="4"/>
  <c r="D125" i="4"/>
  <c r="D193" i="4"/>
  <c r="D229" i="4"/>
  <c r="D335" i="4"/>
  <c r="D108" i="4"/>
  <c r="D70" i="4"/>
  <c r="D137" i="4"/>
  <c r="D25" i="4"/>
  <c r="D328" i="4"/>
  <c r="D163" i="4"/>
  <c r="D119" i="4"/>
  <c r="D266" i="4"/>
  <c r="D144" i="4"/>
  <c r="D147" i="4"/>
  <c r="D241" i="4"/>
  <c r="D297" i="4"/>
  <c r="D28" i="4"/>
  <c r="D45" i="4"/>
  <c r="D253" i="4"/>
  <c r="D124" i="4"/>
  <c r="D89" i="4"/>
  <c r="D26" i="4"/>
  <c r="D224" i="4"/>
  <c r="D165" i="4"/>
  <c r="D237" i="4"/>
  <c r="D213" i="4"/>
  <c r="D152" i="4"/>
  <c r="D267" i="4"/>
  <c r="D84" i="4"/>
  <c r="D330" i="4"/>
  <c r="D254" i="4"/>
  <c r="D62" i="4"/>
  <c r="D43" i="4"/>
  <c r="D136" i="4"/>
  <c r="D10" i="4"/>
  <c r="D6" i="4"/>
  <c r="D276" i="4"/>
  <c r="D323" i="4"/>
  <c r="D40" i="4"/>
  <c r="D53" i="4"/>
  <c r="D277" i="4"/>
  <c r="D111" i="4"/>
  <c r="D287" i="4"/>
  <c r="D296" i="4"/>
  <c r="D169" i="4"/>
  <c r="D196" i="4"/>
  <c r="D284" i="4"/>
  <c r="D295" i="4"/>
  <c r="D300" i="4"/>
  <c r="D183" i="4"/>
  <c r="D275" i="4"/>
  <c r="D171" i="4"/>
  <c r="D45" i="6"/>
  <c r="D195" i="4"/>
  <c r="D9" i="4"/>
  <c r="D59" i="4"/>
  <c r="D201" i="4"/>
  <c r="D230" i="4"/>
  <c r="D233" i="4"/>
  <c r="D362" i="4"/>
  <c r="D161" i="4"/>
  <c r="D205" i="4"/>
  <c r="D123" i="4"/>
  <c r="D206" i="4"/>
  <c r="D359" i="4"/>
  <c r="D211" i="4"/>
  <c r="D298" i="4"/>
  <c r="D182" i="4"/>
  <c r="D311" i="4"/>
  <c r="D279" i="4"/>
  <c r="D260" i="4"/>
  <c r="D307" i="4"/>
  <c r="D334" i="4"/>
  <c r="D116" i="4"/>
  <c r="D301" i="4"/>
  <c r="D159" i="4"/>
  <c r="D200" i="4"/>
  <c r="D173" i="4"/>
  <c r="D23" i="4"/>
  <c r="D310" i="4"/>
  <c r="D294" i="4"/>
  <c r="D142" i="4"/>
  <c r="D226" i="4"/>
  <c r="D52" i="4"/>
  <c r="D363" i="4"/>
  <c r="D239" i="4"/>
  <c r="D47" i="4"/>
  <c r="D67" i="4"/>
  <c r="D20" i="4"/>
  <c r="D289" i="4"/>
  <c r="D265" i="4"/>
  <c r="D81" i="4"/>
  <c r="D102" i="4"/>
  <c r="D221" i="4"/>
  <c r="D138" i="4"/>
  <c r="D24" i="4"/>
  <c r="D103" i="4"/>
  <c r="D96" i="4"/>
  <c r="D109" i="4"/>
  <c r="D191" i="4"/>
  <c r="D216" i="4"/>
  <c r="D252" i="4"/>
  <c r="D180" i="4"/>
  <c r="D41" i="4"/>
  <c r="D100" i="4"/>
  <c r="D46" i="4"/>
  <c r="D285" i="4"/>
  <c r="D261" i="4"/>
  <c r="D217" i="4"/>
  <c r="D257" i="4"/>
  <c r="D162" i="4"/>
  <c r="D256" i="4"/>
  <c r="D234" i="4"/>
  <c r="D128" i="4"/>
  <c r="D313" i="4"/>
  <c r="D114" i="4"/>
  <c r="D132" i="4"/>
  <c r="D35" i="4"/>
  <c r="D118" i="4"/>
  <c r="D117" i="4"/>
  <c r="D220" i="4"/>
  <c r="D288" i="4"/>
  <c r="D22" i="4"/>
  <c r="D34" i="4"/>
  <c r="D215" i="4"/>
  <c r="D18" i="4"/>
  <c r="D243" i="4"/>
  <c r="D8" i="4"/>
  <c r="D48" i="4"/>
  <c r="D210" i="4"/>
  <c r="D212" i="4"/>
  <c r="D160" i="4"/>
  <c r="D110" i="4"/>
  <c r="D194" i="4"/>
  <c r="D316" i="4"/>
  <c r="D248" i="4"/>
  <c r="D325" i="4"/>
  <c r="D98" i="4"/>
  <c r="D19" i="4"/>
  <c r="D61" i="4"/>
  <c r="D14" i="4"/>
  <c r="D168" i="4"/>
  <c r="D156" i="4"/>
  <c r="D272" i="4"/>
  <c r="D16" i="4"/>
  <c r="D94" i="4"/>
  <c r="D232" i="4"/>
  <c r="D242" i="4"/>
  <c r="D51" i="4"/>
  <c r="D278" i="4"/>
  <c r="D264" i="4"/>
  <c r="D283" i="4"/>
  <c r="D29" i="4"/>
  <c r="D178" i="4"/>
  <c r="D54" i="4"/>
  <c r="D225" i="4"/>
  <c r="D155" i="4"/>
  <c r="D101" i="4"/>
  <c r="D85" i="4"/>
  <c r="D172" i="4"/>
  <c r="D36" i="4"/>
  <c r="D115" i="4"/>
  <c r="D21" i="4"/>
  <c r="D186" i="4"/>
  <c r="D63" i="4"/>
  <c r="D80" i="4"/>
  <c r="D17" i="4"/>
  <c r="D122" i="4"/>
  <c r="D207" i="4"/>
  <c r="D333" i="4"/>
  <c r="D190" i="4"/>
  <c r="D192" i="4"/>
  <c r="D146" i="4"/>
  <c r="D187" i="4"/>
  <c r="D350" i="4"/>
  <c r="D306" i="4"/>
  <c r="D106" i="4"/>
  <c r="D154" i="4"/>
  <c r="D240" i="4"/>
  <c r="D329" i="4"/>
  <c r="D76" i="4"/>
  <c r="D90" i="4"/>
  <c r="D68" i="4"/>
  <c r="D338" i="4"/>
  <c r="D141" i="4"/>
  <c r="D49" i="4"/>
  <c r="D149" i="4"/>
  <c r="D292" i="4"/>
  <c r="D36" i="6"/>
  <c r="D38" i="6" s="1"/>
  <c r="D31" i="4"/>
  <c r="D270" i="4"/>
  <c r="D174" i="4"/>
  <c r="D274" i="4"/>
  <c r="D131" i="4"/>
  <c r="E4" i="4"/>
  <c r="E5" i="4" s="1"/>
  <c r="E6" i="4" s="1"/>
  <c r="E7" i="4" s="1"/>
  <c r="E8" i="4" s="1"/>
  <c r="E9" i="4" s="1"/>
  <c r="E10" i="4" s="1"/>
  <c r="E11" i="4" s="1"/>
  <c r="E12" i="4" s="1"/>
  <c r="E13" i="4" s="1"/>
  <c r="E14" i="4" s="1"/>
  <c r="E15" i="4" s="1"/>
  <c r="D177" i="4"/>
  <c r="D354" i="4"/>
  <c r="D235" i="4"/>
  <c r="D133" i="4"/>
  <c r="D318" i="4"/>
  <c r="D314" i="4"/>
  <c r="D336" i="4"/>
  <c r="D227" i="4"/>
  <c r="D222" i="4"/>
  <c r="D150" i="4"/>
  <c r="D7" i="4"/>
  <c r="D312" i="4"/>
  <c r="D244" i="4"/>
  <c r="D170" i="4"/>
  <c r="D107" i="4"/>
  <c r="D249" i="4"/>
  <c r="D290" i="4"/>
  <c r="E52" i="11"/>
  <c r="E53" i="11" s="1"/>
  <c r="E54" i="11" s="1"/>
  <c r="E55" i="11" s="1"/>
  <c r="E56" i="11" s="1"/>
  <c r="E57" i="11" s="1"/>
  <c r="E58" i="11" s="1"/>
  <c r="E59" i="11" s="1"/>
  <c r="E60" i="11" s="1"/>
  <c r="E61" i="11" s="1"/>
  <c r="E62" i="11" s="1"/>
  <c r="E63" i="11" s="1"/>
  <c r="U10" i="10"/>
  <c r="N10" i="10" s="1"/>
  <c r="D38" i="10"/>
  <c r="H38" i="10" l="1"/>
  <c r="D19" i="12"/>
  <c r="X6" i="6"/>
  <c r="Z6" i="6" s="1"/>
  <c r="D48" i="6"/>
  <c r="D55" i="6" s="1"/>
  <c r="I52" i="6" s="1"/>
  <c r="E16" i="4"/>
  <c r="E17" i="4" s="1"/>
  <c r="E18" i="4" s="1"/>
  <c r="E19" i="4" s="1"/>
  <c r="E20" i="4" s="1"/>
  <c r="E21" i="4" s="1"/>
  <c r="E22" i="4" s="1"/>
  <c r="E23" i="4" s="1"/>
  <c r="E24" i="4" s="1"/>
  <c r="E25" i="4" s="1"/>
  <c r="E26" i="4" s="1"/>
  <c r="E27" i="4" s="1"/>
  <c r="U7" i="6"/>
  <c r="P21" i="10"/>
  <c r="E19" i="12"/>
  <c r="E64" i="11"/>
  <c r="E65" i="11" s="1"/>
  <c r="E66" i="11" s="1"/>
  <c r="E67" i="11" s="1"/>
  <c r="E68" i="11" s="1"/>
  <c r="E69" i="11" s="1"/>
  <c r="E70" i="11" s="1"/>
  <c r="E71" i="11" s="1"/>
  <c r="E72" i="11" s="1"/>
  <c r="E73" i="11" s="1"/>
  <c r="E74" i="11" s="1"/>
  <c r="E75" i="11" s="1"/>
  <c r="U11" i="10"/>
  <c r="N11" i="10" s="1"/>
  <c r="P33" i="10"/>
  <c r="P25" i="10"/>
  <c r="P34" i="10"/>
  <c r="P11" i="10"/>
  <c r="P7" i="10"/>
  <c r="O7" i="10" s="1"/>
  <c r="P16" i="10"/>
  <c r="P17" i="10"/>
  <c r="P23" i="10"/>
  <c r="P12" i="10"/>
  <c r="P29" i="10"/>
  <c r="P31" i="10"/>
  <c r="P8" i="10"/>
  <c r="O8" i="10" s="1"/>
  <c r="P32" i="10"/>
  <c r="P28" i="10"/>
  <c r="P22" i="10"/>
  <c r="P26" i="10"/>
  <c r="P10" i="10"/>
  <c r="O10" i="10" s="1"/>
  <c r="P18" i="10"/>
  <c r="P27" i="10"/>
  <c r="P9" i="10"/>
  <c r="O9" i="10" s="1"/>
  <c r="D26" i="10"/>
  <c r="P36" i="10"/>
  <c r="P30" i="10"/>
  <c r="P15" i="10"/>
  <c r="P35" i="10"/>
  <c r="P14" i="10"/>
  <c r="P24" i="10"/>
  <c r="P19" i="10"/>
  <c r="P13" i="10"/>
  <c r="P20" i="10"/>
  <c r="P9" i="6"/>
  <c r="P31" i="6"/>
  <c r="P22" i="6"/>
  <c r="P15" i="6"/>
  <c r="P26" i="6"/>
  <c r="P32" i="6"/>
  <c r="P27" i="6"/>
  <c r="P35" i="6"/>
  <c r="P29" i="6"/>
  <c r="P23" i="6"/>
  <c r="P12" i="6"/>
  <c r="P28" i="6"/>
  <c r="P10" i="6"/>
  <c r="P14" i="6"/>
  <c r="P36" i="6"/>
  <c r="P21" i="6"/>
  <c r="P25" i="6"/>
  <c r="P19" i="6"/>
  <c r="P30" i="6"/>
  <c r="P16" i="6"/>
  <c r="P34" i="6"/>
  <c r="P8" i="6"/>
  <c r="P7" i="6"/>
  <c r="P17" i="6"/>
  <c r="P11" i="6"/>
  <c r="D26" i="6"/>
  <c r="P20" i="6"/>
  <c r="P18" i="6"/>
  <c r="P33" i="6"/>
  <c r="P13" i="6"/>
  <c r="P24" i="6"/>
  <c r="E24" i="12" l="1"/>
  <c r="D32" i="10"/>
  <c r="E28" i="4"/>
  <c r="E29" i="4" s="1"/>
  <c r="E30" i="4" s="1"/>
  <c r="E31" i="4" s="1"/>
  <c r="E32" i="4" s="1"/>
  <c r="E33" i="4" s="1"/>
  <c r="E34" i="4" s="1"/>
  <c r="E35" i="4" s="1"/>
  <c r="E36" i="4" s="1"/>
  <c r="E37" i="4" s="1"/>
  <c r="E38" i="4" s="1"/>
  <c r="E39" i="4" s="1"/>
  <c r="U8" i="6"/>
  <c r="O11" i="10"/>
  <c r="U12" i="10"/>
  <c r="E76" i="11"/>
  <c r="E77" i="11" s="1"/>
  <c r="E78" i="11" s="1"/>
  <c r="E79" i="11" s="1"/>
  <c r="E80" i="11" s="1"/>
  <c r="E81" i="11" s="1"/>
  <c r="E82" i="11" s="1"/>
  <c r="E83" i="11" s="1"/>
  <c r="E84" i="11" s="1"/>
  <c r="E85" i="11" s="1"/>
  <c r="E86" i="11" s="1"/>
  <c r="E87" i="11" s="1"/>
  <c r="N12" i="10" l="1"/>
  <c r="O12" i="10" s="1"/>
  <c r="E40" i="4"/>
  <c r="E41" i="4" s="1"/>
  <c r="E42" i="4" s="1"/>
  <c r="E43" i="4" s="1"/>
  <c r="E44" i="4" s="1"/>
  <c r="E45" i="4" s="1"/>
  <c r="E46" i="4" s="1"/>
  <c r="E47" i="4" s="1"/>
  <c r="E48" i="4" s="1"/>
  <c r="E49" i="4" s="1"/>
  <c r="E50" i="4" s="1"/>
  <c r="E51" i="4" s="1"/>
  <c r="U9" i="6"/>
  <c r="E88" i="11"/>
  <c r="E89" i="11" s="1"/>
  <c r="E90" i="11" s="1"/>
  <c r="E91" i="11" s="1"/>
  <c r="E92" i="11" s="1"/>
  <c r="E93" i="11" s="1"/>
  <c r="E94" i="11" s="1"/>
  <c r="E95" i="11" s="1"/>
  <c r="E96" i="11" s="1"/>
  <c r="E97" i="11" s="1"/>
  <c r="E98" i="11" s="1"/>
  <c r="E99" i="11" s="1"/>
  <c r="U13" i="10"/>
  <c r="N13" i="10" l="1"/>
  <c r="O13" i="10" s="1"/>
  <c r="E52" i="4"/>
  <c r="E53" i="4" s="1"/>
  <c r="E54" i="4" s="1"/>
  <c r="E55" i="4" s="1"/>
  <c r="E56" i="4" s="1"/>
  <c r="E57" i="4" s="1"/>
  <c r="E58" i="4" s="1"/>
  <c r="E59" i="4" s="1"/>
  <c r="E60" i="4" s="1"/>
  <c r="E61" i="4" s="1"/>
  <c r="E62" i="4" s="1"/>
  <c r="E63" i="4" s="1"/>
  <c r="U10" i="6"/>
  <c r="U14" i="10"/>
  <c r="E100" i="11"/>
  <c r="E101" i="11" s="1"/>
  <c r="E102" i="11" s="1"/>
  <c r="E103" i="11" s="1"/>
  <c r="E104" i="11" s="1"/>
  <c r="E105" i="11" s="1"/>
  <c r="E106" i="11" s="1"/>
  <c r="E107" i="11" s="1"/>
  <c r="E108" i="11" s="1"/>
  <c r="E109" i="11" s="1"/>
  <c r="E110" i="11" s="1"/>
  <c r="E111" i="11" s="1"/>
  <c r="N14" i="10" l="1"/>
  <c r="O14" i="10" s="1"/>
  <c r="E64" i="4"/>
  <c r="E65" i="4" s="1"/>
  <c r="E66" i="4" s="1"/>
  <c r="E67" i="4" s="1"/>
  <c r="E68" i="4" s="1"/>
  <c r="E69" i="4" s="1"/>
  <c r="E70" i="4" s="1"/>
  <c r="E71" i="4" s="1"/>
  <c r="E72" i="4" s="1"/>
  <c r="E73" i="4" s="1"/>
  <c r="E74" i="4" s="1"/>
  <c r="E75" i="4" s="1"/>
  <c r="U11" i="6"/>
  <c r="E112" i="11"/>
  <c r="E113" i="11" s="1"/>
  <c r="E114" i="11" s="1"/>
  <c r="E115" i="11" s="1"/>
  <c r="E116" i="11" s="1"/>
  <c r="E117" i="11" s="1"/>
  <c r="E118" i="11" s="1"/>
  <c r="E119" i="11" s="1"/>
  <c r="E120" i="11" s="1"/>
  <c r="E121" i="11" s="1"/>
  <c r="E122" i="11" s="1"/>
  <c r="E123" i="11" s="1"/>
  <c r="U15" i="10"/>
  <c r="N15" i="10" l="1"/>
  <c r="O15" i="10" s="1"/>
  <c r="E76" i="4"/>
  <c r="E77" i="4" s="1"/>
  <c r="E78" i="4" s="1"/>
  <c r="E79" i="4" s="1"/>
  <c r="E80" i="4" s="1"/>
  <c r="E81" i="4" s="1"/>
  <c r="E82" i="4" s="1"/>
  <c r="E83" i="4" s="1"/>
  <c r="E84" i="4" s="1"/>
  <c r="E85" i="4" s="1"/>
  <c r="E86" i="4" s="1"/>
  <c r="E87" i="4" s="1"/>
  <c r="U12" i="6"/>
  <c r="E124" i="11"/>
  <c r="E125" i="11" s="1"/>
  <c r="E126" i="11" s="1"/>
  <c r="E127" i="11" s="1"/>
  <c r="E128" i="11" s="1"/>
  <c r="E129" i="11" s="1"/>
  <c r="E130" i="11" s="1"/>
  <c r="E131" i="11" s="1"/>
  <c r="E132" i="11" s="1"/>
  <c r="E133" i="11" s="1"/>
  <c r="E134" i="11" s="1"/>
  <c r="E135" i="11" s="1"/>
  <c r="U16" i="10"/>
  <c r="N16" i="10" l="1"/>
  <c r="O16" i="10" s="1"/>
  <c r="E88" i="4"/>
  <c r="E89" i="4" s="1"/>
  <c r="E90" i="4" s="1"/>
  <c r="E91" i="4" s="1"/>
  <c r="E92" i="4" s="1"/>
  <c r="E93" i="4" s="1"/>
  <c r="E94" i="4" s="1"/>
  <c r="E95" i="4" s="1"/>
  <c r="E96" i="4" s="1"/>
  <c r="E97" i="4" s="1"/>
  <c r="E98" i="4" s="1"/>
  <c r="E99" i="4" s="1"/>
  <c r="U13" i="6"/>
  <c r="E136" i="11"/>
  <c r="E137" i="11" s="1"/>
  <c r="E138" i="11" s="1"/>
  <c r="E139" i="11" s="1"/>
  <c r="E140" i="11" s="1"/>
  <c r="E141" i="11" s="1"/>
  <c r="E142" i="11" s="1"/>
  <c r="E143" i="11" s="1"/>
  <c r="E144" i="11" s="1"/>
  <c r="E145" i="11" s="1"/>
  <c r="E146" i="11" s="1"/>
  <c r="E147" i="11" s="1"/>
  <c r="U17" i="10"/>
  <c r="N17" i="10" l="1"/>
  <c r="O17" i="10" s="1"/>
  <c r="E100" i="4"/>
  <c r="E101" i="4" s="1"/>
  <c r="E102" i="4" s="1"/>
  <c r="E103" i="4" s="1"/>
  <c r="E104" i="4" s="1"/>
  <c r="E105" i="4" s="1"/>
  <c r="E106" i="4" s="1"/>
  <c r="E107" i="4" s="1"/>
  <c r="E108" i="4" s="1"/>
  <c r="E109" i="4" s="1"/>
  <c r="E110" i="4" s="1"/>
  <c r="E111" i="4" s="1"/>
  <c r="U14" i="6"/>
  <c r="U18" i="10"/>
  <c r="E148" i="11"/>
  <c r="E149" i="11" s="1"/>
  <c r="E150" i="11" s="1"/>
  <c r="E151" i="11" s="1"/>
  <c r="E152" i="11" s="1"/>
  <c r="E153" i="11" s="1"/>
  <c r="E154" i="11" s="1"/>
  <c r="E155" i="11" s="1"/>
  <c r="E156" i="11" s="1"/>
  <c r="E157" i="11" s="1"/>
  <c r="E158" i="11" s="1"/>
  <c r="E159" i="11" s="1"/>
  <c r="N18" i="10" l="1"/>
  <c r="O18" i="10" s="1"/>
  <c r="E112" i="4"/>
  <c r="E113" i="4" s="1"/>
  <c r="E114" i="4" s="1"/>
  <c r="E115" i="4" s="1"/>
  <c r="E116" i="4" s="1"/>
  <c r="E117" i="4" s="1"/>
  <c r="E118" i="4" s="1"/>
  <c r="E119" i="4" s="1"/>
  <c r="E120" i="4" s="1"/>
  <c r="E121" i="4" s="1"/>
  <c r="E122" i="4" s="1"/>
  <c r="E123" i="4" s="1"/>
  <c r="U15" i="6"/>
  <c r="U19" i="10"/>
  <c r="E160" i="11"/>
  <c r="E161" i="11" s="1"/>
  <c r="E162" i="11" s="1"/>
  <c r="E163" i="11" s="1"/>
  <c r="E164" i="11" s="1"/>
  <c r="E165" i="11" s="1"/>
  <c r="E166" i="11" s="1"/>
  <c r="E167" i="11" s="1"/>
  <c r="E168" i="11" s="1"/>
  <c r="E169" i="11" s="1"/>
  <c r="E170" i="11" s="1"/>
  <c r="E171" i="11" s="1"/>
  <c r="N19" i="10" l="1"/>
  <c r="O19" i="10" s="1"/>
  <c r="E124" i="4"/>
  <c r="E125" i="4" s="1"/>
  <c r="E126" i="4" s="1"/>
  <c r="E127" i="4" s="1"/>
  <c r="E128" i="4" s="1"/>
  <c r="E129" i="4" s="1"/>
  <c r="E130" i="4" s="1"/>
  <c r="E131" i="4" s="1"/>
  <c r="E132" i="4" s="1"/>
  <c r="E133" i="4" s="1"/>
  <c r="E134" i="4" s="1"/>
  <c r="E135" i="4" s="1"/>
  <c r="U16" i="6"/>
  <c r="E172" i="11"/>
  <c r="E173" i="11" s="1"/>
  <c r="E174" i="11" s="1"/>
  <c r="E175" i="11" s="1"/>
  <c r="E176" i="11" s="1"/>
  <c r="E177" i="11" s="1"/>
  <c r="E178" i="11" s="1"/>
  <c r="E179" i="11" s="1"/>
  <c r="E180" i="11" s="1"/>
  <c r="E181" i="11" s="1"/>
  <c r="E182" i="11" s="1"/>
  <c r="E183" i="11" s="1"/>
  <c r="U20" i="10"/>
  <c r="N20" i="10" l="1"/>
  <c r="O20" i="10" s="1"/>
  <c r="E136" i="4"/>
  <c r="E137" i="4" s="1"/>
  <c r="E138" i="4" s="1"/>
  <c r="E139" i="4" s="1"/>
  <c r="E140" i="4" s="1"/>
  <c r="E141" i="4" s="1"/>
  <c r="E142" i="4" s="1"/>
  <c r="E143" i="4" s="1"/>
  <c r="E144" i="4" s="1"/>
  <c r="E145" i="4" s="1"/>
  <c r="E146" i="4" s="1"/>
  <c r="E147" i="4" s="1"/>
  <c r="U17" i="6"/>
  <c r="E184" i="11"/>
  <c r="E185" i="11" s="1"/>
  <c r="E186" i="11" s="1"/>
  <c r="E187" i="11" s="1"/>
  <c r="E188" i="11" s="1"/>
  <c r="E189" i="11" s="1"/>
  <c r="E190" i="11" s="1"/>
  <c r="E191" i="11" s="1"/>
  <c r="E192" i="11" s="1"/>
  <c r="E193" i="11" s="1"/>
  <c r="E194" i="11" s="1"/>
  <c r="E195" i="11" s="1"/>
  <c r="U21" i="10"/>
  <c r="N21" i="10" l="1"/>
  <c r="O21" i="10" s="1"/>
  <c r="E148" i="4"/>
  <c r="E149" i="4" s="1"/>
  <c r="E150" i="4" s="1"/>
  <c r="E151" i="4" s="1"/>
  <c r="E152" i="4" s="1"/>
  <c r="E153" i="4" s="1"/>
  <c r="E154" i="4" s="1"/>
  <c r="E155" i="4" s="1"/>
  <c r="E156" i="4" s="1"/>
  <c r="E157" i="4" s="1"/>
  <c r="E158" i="4" s="1"/>
  <c r="E159" i="4" s="1"/>
  <c r="U18" i="6"/>
  <c r="E196" i="11"/>
  <c r="E197" i="11" s="1"/>
  <c r="E198" i="11" s="1"/>
  <c r="E199" i="11" s="1"/>
  <c r="E200" i="11" s="1"/>
  <c r="E201" i="11" s="1"/>
  <c r="E202" i="11" s="1"/>
  <c r="E203" i="11" s="1"/>
  <c r="E204" i="11" s="1"/>
  <c r="E205" i="11" s="1"/>
  <c r="E206" i="11" s="1"/>
  <c r="E207" i="11" s="1"/>
  <c r="U22" i="10"/>
  <c r="N22" i="10" l="1"/>
  <c r="O22" i="10" s="1"/>
  <c r="E160" i="4"/>
  <c r="E161" i="4" s="1"/>
  <c r="E162" i="4" s="1"/>
  <c r="E163" i="4" s="1"/>
  <c r="E164" i="4" s="1"/>
  <c r="E165" i="4" s="1"/>
  <c r="E166" i="4" s="1"/>
  <c r="E167" i="4" s="1"/>
  <c r="E168" i="4" s="1"/>
  <c r="E169" i="4" s="1"/>
  <c r="E170" i="4" s="1"/>
  <c r="E171" i="4" s="1"/>
  <c r="U19" i="6"/>
  <c r="E208" i="11"/>
  <c r="E209" i="11" s="1"/>
  <c r="E210" i="11" s="1"/>
  <c r="E211" i="11" s="1"/>
  <c r="E212" i="11" s="1"/>
  <c r="E213" i="11" s="1"/>
  <c r="E214" i="11" s="1"/>
  <c r="E215" i="11" s="1"/>
  <c r="E216" i="11" s="1"/>
  <c r="E217" i="11" s="1"/>
  <c r="E218" i="11" s="1"/>
  <c r="E219" i="11" s="1"/>
  <c r="U23" i="10"/>
  <c r="N23" i="10" l="1"/>
  <c r="O23" i="10" s="1"/>
  <c r="U20" i="6"/>
  <c r="E172" i="4"/>
  <c r="E173" i="4" s="1"/>
  <c r="E174" i="4" s="1"/>
  <c r="E175" i="4" s="1"/>
  <c r="E176" i="4" s="1"/>
  <c r="E177" i="4" s="1"/>
  <c r="E178" i="4" s="1"/>
  <c r="E179" i="4" s="1"/>
  <c r="E180" i="4" s="1"/>
  <c r="E181" i="4" s="1"/>
  <c r="E182" i="4" s="1"/>
  <c r="E183" i="4" s="1"/>
  <c r="Y21" i="6" s="1"/>
  <c r="E220" i="11"/>
  <c r="E221" i="11" s="1"/>
  <c r="E222" i="11" s="1"/>
  <c r="E223" i="11" s="1"/>
  <c r="E224" i="11" s="1"/>
  <c r="E225" i="11" s="1"/>
  <c r="E226" i="11" s="1"/>
  <c r="E227" i="11" s="1"/>
  <c r="E228" i="11" s="1"/>
  <c r="E229" i="11" s="1"/>
  <c r="E230" i="11" s="1"/>
  <c r="E231" i="11" s="1"/>
  <c r="U24" i="10"/>
  <c r="N24" i="10" l="1"/>
  <c r="O24" i="10" s="1"/>
  <c r="H35" i="6"/>
  <c r="D21" i="12" s="1"/>
  <c r="E184" i="4"/>
  <c r="E185" i="4" s="1"/>
  <c r="E186" i="4" s="1"/>
  <c r="E187" i="4" s="1"/>
  <c r="E188" i="4" s="1"/>
  <c r="E189" i="4" s="1"/>
  <c r="E190" i="4" s="1"/>
  <c r="E191" i="4" s="1"/>
  <c r="E192" i="4" s="1"/>
  <c r="E193" i="4" s="1"/>
  <c r="E194" i="4" s="1"/>
  <c r="E195" i="4" s="1"/>
  <c r="U21" i="6"/>
  <c r="E232" i="11"/>
  <c r="E233" i="11" s="1"/>
  <c r="E234" i="11" s="1"/>
  <c r="E235" i="11" s="1"/>
  <c r="E236" i="11" s="1"/>
  <c r="E237" i="11" s="1"/>
  <c r="E238" i="11" s="1"/>
  <c r="E239" i="11" s="1"/>
  <c r="E240" i="11" s="1"/>
  <c r="E241" i="11" s="1"/>
  <c r="E242" i="11" s="1"/>
  <c r="E243" i="11" s="1"/>
  <c r="U25" i="10"/>
  <c r="N25" i="10" l="1"/>
  <c r="O25" i="10" s="1"/>
  <c r="E196" i="4"/>
  <c r="E197" i="4" s="1"/>
  <c r="E198" i="4" s="1"/>
  <c r="E199" i="4" s="1"/>
  <c r="E200" i="4" s="1"/>
  <c r="E201" i="4" s="1"/>
  <c r="E202" i="4" s="1"/>
  <c r="E203" i="4" s="1"/>
  <c r="E204" i="4" s="1"/>
  <c r="E205" i="4" s="1"/>
  <c r="E206" i="4" s="1"/>
  <c r="E207" i="4" s="1"/>
  <c r="U22" i="6"/>
  <c r="D29" i="10"/>
  <c r="E244" i="11"/>
  <c r="E245" i="11" s="1"/>
  <c r="E246" i="11" s="1"/>
  <c r="E247" i="11" s="1"/>
  <c r="E248" i="11" s="1"/>
  <c r="E249" i="11" s="1"/>
  <c r="E250" i="11" s="1"/>
  <c r="E251" i="11" s="1"/>
  <c r="E252" i="11" s="1"/>
  <c r="E253" i="11" s="1"/>
  <c r="E254" i="11" s="1"/>
  <c r="E255" i="11" s="1"/>
  <c r="U26" i="10"/>
  <c r="N26" i="10" l="1"/>
  <c r="O26" i="10" s="1"/>
  <c r="D31" i="10"/>
  <c r="E208" i="4"/>
  <c r="E209" i="4" s="1"/>
  <c r="E210" i="4" s="1"/>
  <c r="E211" i="4" s="1"/>
  <c r="E212" i="4" s="1"/>
  <c r="E213" i="4" s="1"/>
  <c r="E214" i="4" s="1"/>
  <c r="E215" i="4" s="1"/>
  <c r="E216" i="4" s="1"/>
  <c r="E217" i="4" s="1"/>
  <c r="E218" i="4" s="1"/>
  <c r="E219" i="4" s="1"/>
  <c r="U23" i="6"/>
  <c r="E256" i="11"/>
  <c r="E257" i="11" s="1"/>
  <c r="E258" i="11" s="1"/>
  <c r="E259" i="11" s="1"/>
  <c r="E260" i="11" s="1"/>
  <c r="E261" i="11" s="1"/>
  <c r="E262" i="11" s="1"/>
  <c r="E263" i="11" s="1"/>
  <c r="E264" i="11" s="1"/>
  <c r="E265" i="11" s="1"/>
  <c r="E266" i="11" s="1"/>
  <c r="E267" i="11" s="1"/>
  <c r="U27" i="10"/>
  <c r="N27" i="10" l="1"/>
  <c r="O27" i="10" s="1"/>
  <c r="U24" i="6"/>
  <c r="E220" i="4"/>
  <c r="E221" i="4" s="1"/>
  <c r="E222" i="4" s="1"/>
  <c r="E223" i="4" s="1"/>
  <c r="E224" i="4" s="1"/>
  <c r="E225" i="4" s="1"/>
  <c r="E226" i="4" s="1"/>
  <c r="E227" i="4" s="1"/>
  <c r="E228" i="4" s="1"/>
  <c r="E229" i="4" s="1"/>
  <c r="E230" i="4" s="1"/>
  <c r="E231" i="4" s="1"/>
  <c r="E23" i="12"/>
  <c r="E268" i="11"/>
  <c r="E269" i="11" s="1"/>
  <c r="E270" i="11" s="1"/>
  <c r="E271" i="11" s="1"/>
  <c r="E272" i="11" s="1"/>
  <c r="E273" i="11" s="1"/>
  <c r="E274" i="11" s="1"/>
  <c r="E275" i="11" s="1"/>
  <c r="E276" i="11" s="1"/>
  <c r="E277" i="11" s="1"/>
  <c r="E278" i="11" s="1"/>
  <c r="E279" i="11" s="1"/>
  <c r="U28" i="10"/>
  <c r="N28" i="10" l="1"/>
  <c r="O28" i="10" s="1"/>
  <c r="U25" i="6"/>
  <c r="E232" i="4"/>
  <c r="E233" i="4" s="1"/>
  <c r="E234" i="4" s="1"/>
  <c r="E235" i="4" s="1"/>
  <c r="E236" i="4" s="1"/>
  <c r="E237" i="4" s="1"/>
  <c r="E238" i="4" s="1"/>
  <c r="E239" i="4" s="1"/>
  <c r="E240" i="4" s="1"/>
  <c r="E241" i="4" s="1"/>
  <c r="E242" i="4" s="1"/>
  <c r="E243" i="4" s="1"/>
  <c r="U29" i="10"/>
  <c r="E280" i="11"/>
  <c r="E281" i="11" s="1"/>
  <c r="E282" i="11" s="1"/>
  <c r="E283" i="11" s="1"/>
  <c r="E284" i="11" s="1"/>
  <c r="E285" i="11" s="1"/>
  <c r="E286" i="11" s="1"/>
  <c r="E287" i="11" s="1"/>
  <c r="E288" i="11" s="1"/>
  <c r="E289" i="11" s="1"/>
  <c r="E290" i="11" s="1"/>
  <c r="E291" i="11" s="1"/>
  <c r="N29" i="10" l="1"/>
  <c r="O29" i="10" s="1"/>
  <c r="E244" i="4"/>
  <c r="E245" i="4" s="1"/>
  <c r="E246" i="4" s="1"/>
  <c r="E247" i="4" s="1"/>
  <c r="E248" i="4" s="1"/>
  <c r="E249" i="4" s="1"/>
  <c r="E250" i="4" s="1"/>
  <c r="E251" i="4" s="1"/>
  <c r="E252" i="4" s="1"/>
  <c r="E253" i="4" s="1"/>
  <c r="E254" i="4" s="1"/>
  <c r="E255" i="4" s="1"/>
  <c r="U26" i="6"/>
  <c r="E292" i="11"/>
  <c r="E293" i="11" s="1"/>
  <c r="E294" i="11" s="1"/>
  <c r="E295" i="11" s="1"/>
  <c r="E296" i="11" s="1"/>
  <c r="E297" i="11" s="1"/>
  <c r="E298" i="11" s="1"/>
  <c r="E299" i="11" s="1"/>
  <c r="E300" i="11" s="1"/>
  <c r="E301" i="11" s="1"/>
  <c r="E302" i="11" s="1"/>
  <c r="E303" i="11" s="1"/>
  <c r="U30" i="10"/>
  <c r="N30" i="10" l="1"/>
  <c r="O30" i="10" s="1"/>
  <c r="U27" i="6"/>
  <c r="E256" i="4"/>
  <c r="E257" i="4" s="1"/>
  <c r="E258" i="4" s="1"/>
  <c r="E259" i="4" s="1"/>
  <c r="E260" i="4" s="1"/>
  <c r="E261" i="4" s="1"/>
  <c r="E262" i="4" s="1"/>
  <c r="E263" i="4" s="1"/>
  <c r="E264" i="4" s="1"/>
  <c r="E265" i="4" s="1"/>
  <c r="E266" i="4" s="1"/>
  <c r="E267" i="4" s="1"/>
  <c r="E304" i="11"/>
  <c r="E305" i="11" s="1"/>
  <c r="E306" i="11" s="1"/>
  <c r="E307" i="11" s="1"/>
  <c r="E308" i="11" s="1"/>
  <c r="E309" i="11" s="1"/>
  <c r="E310" i="11" s="1"/>
  <c r="E311" i="11" s="1"/>
  <c r="E312" i="11" s="1"/>
  <c r="E313" i="11" s="1"/>
  <c r="E314" i="11" s="1"/>
  <c r="E315" i="11" s="1"/>
  <c r="U31" i="10"/>
  <c r="N31" i="10" l="1"/>
  <c r="O31" i="10" s="1"/>
  <c r="E268" i="4"/>
  <c r="E269" i="4" s="1"/>
  <c r="E270" i="4" s="1"/>
  <c r="E271" i="4" s="1"/>
  <c r="E272" i="4" s="1"/>
  <c r="E273" i="4" s="1"/>
  <c r="E274" i="4" s="1"/>
  <c r="E275" i="4" s="1"/>
  <c r="E276" i="4" s="1"/>
  <c r="E277" i="4" s="1"/>
  <c r="E278" i="4" s="1"/>
  <c r="E279" i="4" s="1"/>
  <c r="U28" i="6"/>
  <c r="U32" i="10"/>
  <c r="E316" i="11"/>
  <c r="E317" i="11" s="1"/>
  <c r="E318" i="11" s="1"/>
  <c r="E319" i="11" s="1"/>
  <c r="E320" i="11" s="1"/>
  <c r="E321" i="11" s="1"/>
  <c r="E322" i="11" s="1"/>
  <c r="E323" i="11" s="1"/>
  <c r="E324" i="11" s="1"/>
  <c r="E325" i="11" s="1"/>
  <c r="E326" i="11" s="1"/>
  <c r="E327" i="11" s="1"/>
  <c r="N32" i="10" l="1"/>
  <c r="O32" i="10" s="1"/>
  <c r="E280" i="4"/>
  <c r="E281" i="4" s="1"/>
  <c r="E282" i="4" s="1"/>
  <c r="E283" i="4" s="1"/>
  <c r="E284" i="4" s="1"/>
  <c r="E285" i="4" s="1"/>
  <c r="E286" i="4" s="1"/>
  <c r="E287" i="4" s="1"/>
  <c r="E288" i="4" s="1"/>
  <c r="E289" i="4" s="1"/>
  <c r="E290" i="4" s="1"/>
  <c r="E291" i="4" s="1"/>
  <c r="U29" i="6"/>
  <c r="E328" i="11"/>
  <c r="E329" i="11" s="1"/>
  <c r="E330" i="11" s="1"/>
  <c r="E331" i="11" s="1"/>
  <c r="E332" i="11" s="1"/>
  <c r="E333" i="11" s="1"/>
  <c r="E334" i="11" s="1"/>
  <c r="E335" i="11" s="1"/>
  <c r="E336" i="11" s="1"/>
  <c r="E337" i="11" s="1"/>
  <c r="E338" i="11" s="1"/>
  <c r="E339" i="11" s="1"/>
  <c r="U33" i="10"/>
  <c r="N33" i="10" l="1"/>
  <c r="O33" i="10" s="1"/>
  <c r="E292" i="4"/>
  <c r="E293" i="4" s="1"/>
  <c r="E294" i="4" s="1"/>
  <c r="E295" i="4" s="1"/>
  <c r="E296" i="4" s="1"/>
  <c r="E297" i="4" s="1"/>
  <c r="E298" i="4" s="1"/>
  <c r="E299" i="4" s="1"/>
  <c r="E300" i="4" s="1"/>
  <c r="E301" i="4" s="1"/>
  <c r="E302" i="4" s="1"/>
  <c r="E303" i="4" s="1"/>
  <c r="U30" i="6"/>
  <c r="E340" i="11"/>
  <c r="E341" i="11" s="1"/>
  <c r="E342" i="11" s="1"/>
  <c r="E343" i="11" s="1"/>
  <c r="E344" i="11" s="1"/>
  <c r="E345" i="11" s="1"/>
  <c r="E346" i="11" s="1"/>
  <c r="E347" i="11" s="1"/>
  <c r="E348" i="11" s="1"/>
  <c r="E349" i="11" s="1"/>
  <c r="E350" i="11" s="1"/>
  <c r="E351" i="11" s="1"/>
  <c r="U34" i="10"/>
  <c r="N34" i="10" l="1"/>
  <c r="O34" i="10" s="1"/>
  <c r="E304" i="4"/>
  <c r="E305" i="4" s="1"/>
  <c r="E306" i="4" s="1"/>
  <c r="E307" i="4" s="1"/>
  <c r="E308" i="4" s="1"/>
  <c r="E309" i="4" s="1"/>
  <c r="E310" i="4" s="1"/>
  <c r="E311" i="4" s="1"/>
  <c r="E312" i="4" s="1"/>
  <c r="E313" i="4" s="1"/>
  <c r="E314" i="4" s="1"/>
  <c r="E315" i="4" s="1"/>
  <c r="U31" i="6"/>
  <c r="E352" i="11"/>
  <c r="E353" i="11" s="1"/>
  <c r="E354" i="11" s="1"/>
  <c r="E355" i="11" s="1"/>
  <c r="E356" i="11" s="1"/>
  <c r="E357" i="11" s="1"/>
  <c r="E358" i="11" s="1"/>
  <c r="E359" i="11" s="1"/>
  <c r="E360" i="11" s="1"/>
  <c r="E361" i="11" s="1"/>
  <c r="E362" i="11" s="1"/>
  <c r="E363" i="11" s="1"/>
  <c r="U36" i="10" s="1"/>
  <c r="U35" i="10"/>
  <c r="N36" i="10" l="1"/>
  <c r="O36" i="10" s="1"/>
  <c r="N35" i="10"/>
  <c r="O35" i="10" s="1"/>
  <c r="E316" i="4"/>
  <c r="E317" i="4" s="1"/>
  <c r="E318" i="4" s="1"/>
  <c r="E319" i="4" s="1"/>
  <c r="E320" i="4" s="1"/>
  <c r="E321" i="4" s="1"/>
  <c r="E322" i="4" s="1"/>
  <c r="E323" i="4" s="1"/>
  <c r="E324" i="4" s="1"/>
  <c r="E325" i="4" s="1"/>
  <c r="E326" i="4" s="1"/>
  <c r="E327" i="4" s="1"/>
  <c r="U32" i="6"/>
  <c r="E328" i="4" l="1"/>
  <c r="E329" i="4" s="1"/>
  <c r="E330" i="4" s="1"/>
  <c r="E331" i="4" s="1"/>
  <c r="E332" i="4" s="1"/>
  <c r="E333" i="4" s="1"/>
  <c r="E334" i="4" s="1"/>
  <c r="E335" i="4" s="1"/>
  <c r="E336" i="4" s="1"/>
  <c r="E337" i="4" s="1"/>
  <c r="E338" i="4" s="1"/>
  <c r="E339" i="4" s="1"/>
  <c r="U33" i="6"/>
  <c r="E340" i="4" l="1"/>
  <c r="E341" i="4" s="1"/>
  <c r="E342" i="4" s="1"/>
  <c r="E343" i="4" s="1"/>
  <c r="E344" i="4" s="1"/>
  <c r="E345" i="4" s="1"/>
  <c r="E346" i="4" s="1"/>
  <c r="E347" i="4" s="1"/>
  <c r="E348" i="4" s="1"/>
  <c r="E349" i="4" s="1"/>
  <c r="E350" i="4" s="1"/>
  <c r="E351" i="4" s="1"/>
  <c r="U34" i="6"/>
  <c r="E352" i="4" l="1"/>
  <c r="E353" i="4" s="1"/>
  <c r="E354" i="4" s="1"/>
  <c r="E355" i="4" s="1"/>
  <c r="E356" i="4" s="1"/>
  <c r="E357" i="4" s="1"/>
  <c r="E358" i="4" s="1"/>
  <c r="E359" i="4" s="1"/>
  <c r="E360" i="4" s="1"/>
  <c r="E361" i="4" s="1"/>
  <c r="E362" i="4" s="1"/>
  <c r="E363" i="4" s="1"/>
  <c r="U36" i="6" s="1"/>
  <c r="U35" i="6"/>
  <c r="D27" i="8" l="1"/>
  <c r="D28" i="8"/>
  <c r="H41" i="8"/>
  <c r="W21" i="8" l="1"/>
  <c r="N21" i="8" s="1"/>
  <c r="O21" i="8" s="1"/>
  <c r="W27" i="8"/>
  <c r="N27" i="8" s="1"/>
  <c r="O27" i="8" s="1"/>
  <c r="W19" i="8"/>
  <c r="N19" i="8" s="1"/>
  <c r="O19" i="8" s="1"/>
  <c r="W12" i="8"/>
  <c r="N12" i="8" s="1"/>
  <c r="O12" i="8" s="1"/>
  <c r="W8" i="8"/>
  <c r="N8" i="8" s="1"/>
  <c r="O8" i="8" s="1"/>
  <c r="W7" i="8"/>
  <c r="N7" i="8" s="1"/>
  <c r="O7" i="8" s="1"/>
  <c r="W26" i="8"/>
  <c r="N26" i="8" s="1"/>
  <c r="O26" i="8" s="1"/>
  <c r="W24" i="8"/>
  <c r="N24" i="8" s="1"/>
  <c r="O24" i="8" s="1"/>
  <c r="W31" i="8"/>
  <c r="N31" i="8" s="1"/>
  <c r="O31" i="8" s="1"/>
  <c r="D32" i="8"/>
  <c r="W23" i="8"/>
  <c r="N23" i="8" s="1"/>
  <c r="O23" i="8" s="1"/>
  <c r="W16" i="8"/>
  <c r="N16" i="8" s="1"/>
  <c r="O16" i="8" s="1"/>
  <c r="W15" i="8"/>
  <c r="N15" i="8" s="1"/>
  <c r="O15" i="8" s="1"/>
  <c r="W32" i="8"/>
  <c r="N32" i="8" s="1"/>
  <c r="O32" i="8" s="1"/>
  <c r="W18" i="8"/>
  <c r="N18" i="8" s="1"/>
  <c r="O18" i="8" s="1"/>
  <c r="W20" i="8"/>
  <c r="N20" i="8" s="1"/>
  <c r="O20" i="8" s="1"/>
  <c r="W30" i="8"/>
  <c r="N30" i="8" s="1"/>
  <c r="O30" i="8" s="1"/>
  <c r="W10" i="8"/>
  <c r="N10" i="8" s="1"/>
  <c r="O10" i="8" s="1"/>
  <c r="W14" i="8"/>
  <c r="N14" i="8" s="1"/>
  <c r="O14" i="8" s="1"/>
  <c r="W29" i="8"/>
  <c r="N29" i="8" s="1"/>
  <c r="O29" i="8" s="1"/>
  <c r="W25" i="8"/>
  <c r="N25" i="8" s="1"/>
  <c r="O25" i="8" s="1"/>
  <c r="W35" i="8"/>
  <c r="N35" i="8" s="1"/>
  <c r="O35" i="8" s="1"/>
  <c r="W13" i="8"/>
  <c r="N13" i="8" s="1"/>
  <c r="O13" i="8" s="1"/>
  <c r="W36" i="8"/>
  <c r="N36" i="8" s="1"/>
  <c r="O36" i="8" s="1"/>
  <c r="W28" i="8"/>
  <c r="N28" i="8" s="1"/>
  <c r="O28" i="8" s="1"/>
  <c r="W34" i="8"/>
  <c r="N34" i="8" s="1"/>
  <c r="O34" i="8" s="1"/>
  <c r="W22" i="8"/>
  <c r="N22" i="8" s="1"/>
  <c r="O22" i="8" s="1"/>
  <c r="W33" i="8"/>
  <c r="N33" i="8" s="1"/>
  <c r="O33" i="8" s="1"/>
  <c r="W9" i="8"/>
  <c r="N9" i="8" s="1"/>
  <c r="O9" i="8" s="1"/>
  <c r="W11" i="8"/>
  <c r="N11" i="8" s="1"/>
  <c r="O11" i="8" s="1"/>
  <c r="W17" i="8"/>
  <c r="N17" i="8" s="1"/>
  <c r="O17" i="8" s="1"/>
  <c r="C25" i="12" l="1"/>
  <c r="H40" i="8"/>
  <c r="H42" i="8" l="1"/>
  <c r="D30" i="8" s="1"/>
  <c r="D29" i="8"/>
  <c r="C24" i="12" l="1"/>
  <c r="C23" i="12"/>
  <c r="H26" i="6"/>
  <c r="H27" i="6" l="1"/>
  <c r="D27" i="6" s="1"/>
  <c r="H28" i="6"/>
  <c r="D28" i="6" s="1"/>
  <c r="D32" i="6"/>
  <c r="I26" i="6"/>
  <c r="I27" i="6" l="1"/>
  <c r="I28" i="6"/>
  <c r="H42" i="6" s="1"/>
  <c r="W23" i="6" l="1"/>
  <c r="N23" i="6" s="1"/>
  <c r="O23" i="6" s="1"/>
  <c r="X24" i="6"/>
  <c r="X15" i="6"/>
  <c r="Z15" i="6" s="1"/>
  <c r="X30" i="6"/>
  <c r="X14" i="6"/>
  <c r="Z14" i="6" s="1"/>
  <c r="X23" i="6"/>
  <c r="X36" i="6"/>
  <c r="X29" i="6"/>
  <c r="X13" i="6"/>
  <c r="Z13" i="6" s="1"/>
  <c r="X28" i="6"/>
  <c r="X21" i="6"/>
  <c r="Z21" i="6" s="1"/>
  <c r="X11" i="6"/>
  <c r="Z11" i="6" s="1"/>
  <c r="X18" i="6"/>
  <c r="Z18" i="6" s="1"/>
  <c r="X34" i="6"/>
  <c r="X20" i="6"/>
  <c r="Z20" i="6" s="1"/>
  <c r="X27" i="6"/>
  <c r="X10" i="6"/>
  <c r="Z10" i="6" s="1"/>
  <c r="X19" i="6"/>
  <c r="Z19" i="6" s="1"/>
  <c r="X33" i="6"/>
  <c r="X9" i="6"/>
  <c r="Z9" i="6" s="1"/>
  <c r="X26" i="6"/>
  <c r="X32" i="6"/>
  <c r="X17" i="6"/>
  <c r="Z17" i="6" s="1"/>
  <c r="X25" i="6"/>
  <c r="X7" i="6"/>
  <c r="Z7" i="6" s="1"/>
  <c r="X16" i="6"/>
  <c r="Z16" i="6" s="1"/>
  <c r="X31" i="6"/>
  <c r="X22" i="6"/>
  <c r="X35" i="6"/>
  <c r="X12" i="6"/>
  <c r="Z12" i="6" s="1"/>
  <c r="X8" i="6"/>
  <c r="Z8" i="6" s="1"/>
  <c r="W17" i="6"/>
  <c r="N17" i="6" s="1"/>
  <c r="O17" i="6" s="1"/>
  <c r="W31" i="6"/>
  <c r="N31" i="6" s="1"/>
  <c r="O31" i="6" s="1"/>
  <c r="W26" i="6"/>
  <c r="N26" i="6" s="1"/>
  <c r="O26" i="6" s="1"/>
  <c r="W20" i="6"/>
  <c r="N20" i="6" s="1"/>
  <c r="O20" i="6" s="1"/>
  <c r="W36" i="6"/>
  <c r="N36" i="6" s="1"/>
  <c r="O36" i="6" s="1"/>
  <c r="W35" i="6"/>
  <c r="N35" i="6" s="1"/>
  <c r="O35" i="6" s="1"/>
  <c r="W25" i="6"/>
  <c r="N25" i="6" s="1"/>
  <c r="O25" i="6" s="1"/>
  <c r="W16" i="6"/>
  <c r="N16" i="6" s="1"/>
  <c r="O16" i="6" s="1"/>
  <c r="H38" i="6"/>
  <c r="W15" i="6"/>
  <c r="N15" i="6" s="1"/>
  <c r="O15" i="6" s="1"/>
  <c r="W19" i="6"/>
  <c r="N19" i="6" s="1"/>
  <c r="O19" i="6" s="1"/>
  <c r="W7" i="6"/>
  <c r="N7" i="6" s="1"/>
  <c r="O7" i="6" s="1"/>
  <c r="W30" i="6"/>
  <c r="N30" i="6" s="1"/>
  <c r="O30" i="6" s="1"/>
  <c r="W21" i="6"/>
  <c r="N21" i="6" s="1"/>
  <c r="O21" i="6" s="1"/>
  <c r="W28" i="6"/>
  <c r="N28" i="6" s="1"/>
  <c r="O28" i="6" s="1"/>
  <c r="W18" i="6"/>
  <c r="N18" i="6" s="1"/>
  <c r="O18" i="6" s="1"/>
  <c r="W32" i="6"/>
  <c r="N32" i="6" s="1"/>
  <c r="O32" i="6" s="1"/>
  <c r="W12" i="6"/>
  <c r="N12" i="6" s="1"/>
  <c r="O12" i="6" s="1"/>
  <c r="W13" i="6"/>
  <c r="N13" i="6" s="1"/>
  <c r="O13" i="6" s="1"/>
  <c r="W22" i="6"/>
  <c r="N22" i="6" s="1"/>
  <c r="O22" i="6" s="1"/>
  <c r="W34" i="6"/>
  <c r="N34" i="6" s="1"/>
  <c r="O34" i="6" s="1"/>
  <c r="W9" i="6"/>
  <c r="N9" i="6" s="1"/>
  <c r="O9" i="6" s="1"/>
  <c r="W27" i="6"/>
  <c r="N27" i="6" s="1"/>
  <c r="O27" i="6" s="1"/>
  <c r="W33" i="6"/>
  <c r="N33" i="6" s="1"/>
  <c r="O33" i="6" s="1"/>
  <c r="W8" i="6"/>
  <c r="N8" i="6" s="1"/>
  <c r="O8" i="6" s="1"/>
  <c r="W24" i="6"/>
  <c r="N24" i="6" s="1"/>
  <c r="O24" i="6" s="1"/>
  <c r="W10" i="6"/>
  <c r="N10" i="6" s="1"/>
  <c r="O10" i="6" s="1"/>
  <c r="W29" i="6"/>
  <c r="N29" i="6" s="1"/>
  <c r="O29" i="6" s="1"/>
  <c r="W11" i="6"/>
  <c r="N11" i="6" s="1"/>
  <c r="O11" i="6" s="1"/>
  <c r="W14" i="6"/>
  <c r="N14" i="6" s="1"/>
  <c r="O14" i="6" s="1"/>
  <c r="H39" i="6" l="1"/>
  <c r="D29" i="6" s="1"/>
  <c r="D20" i="12"/>
  <c r="H41" i="6"/>
  <c r="D26" i="12" s="1"/>
  <c r="D27" i="12" s="1"/>
  <c r="H44" i="6"/>
  <c r="D29" i="12" s="1"/>
  <c r="D23" i="12"/>
  <c r="H43" i="6" l="1"/>
  <c r="D24" i="12" s="1"/>
  <c r="D31" i="6"/>
  <c r="D30" i="6" l="1"/>
</calcChain>
</file>

<file path=xl/sharedStrings.xml><?xml version="1.0" encoding="utf-8"?>
<sst xmlns="http://schemas.openxmlformats.org/spreadsheetml/2006/main" count="304" uniqueCount="146">
  <si>
    <t>Summary</t>
  </si>
  <si>
    <t>List Price</t>
  </si>
  <si>
    <t>Investment Capital Needed</t>
  </si>
  <si>
    <t>Total Projected Profit</t>
  </si>
  <si>
    <t>Annual Return on Investment</t>
  </si>
  <si>
    <t>Annual Cap Rate</t>
  </si>
  <si>
    <t>Investment</t>
  </si>
  <si>
    <t>Down Payment %</t>
  </si>
  <si>
    <t>Down Payment</t>
  </si>
  <si>
    <t>Initial Upgrade Costs</t>
  </si>
  <si>
    <t>Debt Service</t>
  </si>
  <si>
    <t>Monthly</t>
  </si>
  <si>
    <t>Annual</t>
  </si>
  <si>
    <t>Loan Amount</t>
  </si>
  <si>
    <t>Amortization (years)</t>
  </si>
  <si>
    <t>Mortgage Payment (P&amp;I)</t>
  </si>
  <si>
    <t>Total Mortgage Payment (P&amp;I)</t>
  </si>
  <si>
    <t>Property Taxes</t>
  </si>
  <si>
    <t>Management Fees</t>
  </si>
  <si>
    <t>Home Insurance</t>
  </si>
  <si>
    <t>Estimated Vacancy Amount</t>
  </si>
  <si>
    <t>Estimated Maintenance</t>
  </si>
  <si>
    <t>Leasing Fee</t>
  </si>
  <si>
    <t>Cash Flow</t>
  </si>
  <si>
    <t>Rent per Side</t>
  </si>
  <si>
    <t>Return on Investment</t>
  </si>
  <si>
    <t>Annual Appreciation</t>
  </si>
  <si>
    <t>Years Held</t>
  </si>
  <si>
    <t>Accumulated Cash Flow</t>
  </si>
  <si>
    <t>Appreciation</t>
  </si>
  <si>
    <t>Principal Paydown</t>
  </si>
  <si>
    <t>Est. Selling Expenses %</t>
  </si>
  <si>
    <t>Selling Expenses</t>
  </si>
  <si>
    <t>Tax Benefits</t>
  </si>
  <si>
    <t>Cash Reserves</t>
  </si>
  <si>
    <t>Number of Months</t>
  </si>
  <si>
    <t>Estimated Closing Costs</t>
  </si>
  <si>
    <t>Admin Fee</t>
  </si>
  <si>
    <t>Processing Fee</t>
  </si>
  <si>
    <t>Tax Service Fee</t>
  </si>
  <si>
    <t>Total Lender Fees</t>
  </si>
  <si>
    <t>Attorney Doc Prep Fee</t>
  </si>
  <si>
    <t>Credit Report Fee</t>
  </si>
  <si>
    <t>Recording Fee</t>
  </si>
  <si>
    <t>Title Escrow and Misc Fees</t>
  </si>
  <si>
    <t>Owner's Title Policy (OTP)</t>
  </si>
  <si>
    <t>Survey Fee</t>
  </si>
  <si>
    <t>HOA Transfer Fees</t>
  </si>
  <si>
    <t>Total Lender/Title Closing Costs</t>
  </si>
  <si>
    <t>Annual Home Insurance Premium</t>
  </si>
  <si>
    <t>Buyer's contribution toward Escrow Setup</t>
  </si>
  <si>
    <t>Total Other Loan Costs</t>
  </si>
  <si>
    <t>Calculated Total Closing Costs</t>
  </si>
  <si>
    <t>Manually Enter Closing Costs?</t>
  </si>
  <si>
    <t>No</t>
  </si>
  <si>
    <t>Manual Closing Costs</t>
  </si>
  <si>
    <t>Total Closing Costs</t>
  </si>
  <si>
    <t>Vacancy Rate</t>
  </si>
  <si>
    <t xml:space="preserve">Estimated Maintenance </t>
  </si>
  <si>
    <t>Management Fee</t>
  </si>
  <si>
    <t>Yes</t>
  </si>
  <si>
    <t>Mortgage Amortization Schedule</t>
  </si>
  <si>
    <t>Month</t>
  </si>
  <si>
    <t>Principal Payment</t>
  </si>
  <si>
    <t>Interest Payment</t>
  </si>
  <si>
    <t>P&amp;I Payment</t>
  </si>
  <si>
    <t>Balance</t>
  </si>
  <si>
    <t>Years</t>
  </si>
  <si>
    <t>Est. Cash Flow (Total expenses)</t>
  </si>
  <si>
    <t>Disclaimer</t>
  </si>
  <si>
    <t xml:space="preserve">Proforma returns are based on assumptions. Actual returns will vary. Rosehaven Homes, LLC and Magnolia Village at Cinco Lakes, LLC hereby disclaims all warranties, express or implied, and makes no warranties or representations of any kind regarding the information provided or the estimates in this document. Further, we encourage all investors to seek professional advice before making real estate investment decisions. Rosehaven Homes, LLC hereby disclaims any liability for the accuracy, completeness, or correctness of any information or assumptions provided. </t>
  </si>
  <si>
    <t>Contact us for Details: 210-444-2040 or sales@rosehaven.us</t>
  </si>
  <si>
    <t>Premium Duplexes at Magnolia Village Proforma</t>
  </si>
  <si>
    <t>Closing Costs &amp; Prepaids</t>
  </si>
  <si>
    <t>(Does not account for rising rents)</t>
  </si>
  <si>
    <t>Per Diem Interest (15 Days)</t>
  </si>
  <si>
    <t>Total Appreciation</t>
  </si>
  <si>
    <t>Cash Required to Close</t>
  </si>
  <si>
    <t>Accumulated Expenses After Income</t>
  </si>
  <si>
    <t>Projected Annual Appreciation %</t>
  </si>
  <si>
    <t>Rental Contribution</t>
  </si>
  <si>
    <t>Accumulated Principle Paydown</t>
  </si>
  <si>
    <t>Interest Rate</t>
  </si>
  <si>
    <t>Estimated Maintenance Amount</t>
  </si>
  <si>
    <t>Purchase Price</t>
  </si>
  <si>
    <t>Closing Costs</t>
  </si>
  <si>
    <t>Insurance</t>
  </si>
  <si>
    <t>Annual Depreciation Benefit</t>
  </si>
  <si>
    <t>PMI</t>
  </si>
  <si>
    <t>Annual Gross Rents</t>
  </si>
  <si>
    <t>Rent Per Side</t>
  </si>
  <si>
    <t>Capital Needed for Purchase</t>
  </si>
  <si>
    <t>All Cash</t>
  </si>
  <si>
    <t>w/Loan</t>
  </si>
  <si>
    <t>Owner Occupier</t>
  </si>
  <si>
    <t>Key Assumptions</t>
  </si>
  <si>
    <t>Percent Down for Loan</t>
  </si>
  <si>
    <t>Item</t>
  </si>
  <si>
    <t>With Loan</t>
  </si>
  <si>
    <t>Interest Rate on Loan</t>
  </si>
  <si>
    <t>Cap Rate</t>
  </si>
  <si>
    <t>Cash on Cash Return</t>
  </si>
  <si>
    <t>Cash on Cash + Appreciation</t>
  </si>
  <si>
    <t>Investment Period (Years)</t>
  </si>
  <si>
    <t>Owner Occupier Monthly Cost</t>
  </si>
  <si>
    <t>Total Estimated Profit</t>
  </si>
  <si>
    <t>Sample 2</t>
  </si>
  <si>
    <t>Total Monthly Rent</t>
  </si>
  <si>
    <t>Monthly Rent</t>
  </si>
  <si>
    <t>Rent to Purchase Price Ratio</t>
  </si>
  <si>
    <t>Rent to Puchase Price Ratio Comparison</t>
  </si>
  <si>
    <t xml:space="preserve">Addditional assumptions and all forumulas can be found in the other tabs in this spreadsheet. </t>
  </si>
  <si>
    <t>Total Principal Paydown by Renter</t>
  </si>
  <si>
    <t>Operating Expenses</t>
  </si>
  <si>
    <t>Total Operating Expenses</t>
  </si>
  <si>
    <t>Est. Cash Flow (Less Vacancy &amp; Maint Exp)</t>
  </si>
  <si>
    <t>Est. Cash Flow</t>
  </si>
  <si>
    <t>Cash-on-Cash Return (Total Exp)</t>
  </si>
  <si>
    <t>Cash-on-Cash Return (Less Vacancy &amp; Maint Exp)</t>
  </si>
  <si>
    <t>Net Proceeds</t>
  </si>
  <si>
    <t>Adj IRR Cash Flows</t>
  </si>
  <si>
    <t>Internal Rate of Return (IRR)</t>
  </si>
  <si>
    <t>Monthly Cash-on-Cash Return</t>
  </si>
  <si>
    <t>Monthly Cash-on-Cash Return (Less Vacancy &amp; Maint Exp)</t>
  </si>
  <si>
    <t>HOA Fees</t>
  </si>
  <si>
    <t>PITI</t>
  </si>
  <si>
    <t>Leasing Fee (Amortized Over 18 Months)</t>
  </si>
  <si>
    <t>Monthly Cash Flow (Less Vacancy &amp; Maint. Exp)</t>
  </si>
  <si>
    <t>Leasing Fee (Amortized over 18 Months)</t>
  </si>
  <si>
    <t>Expenses After Rental Income</t>
  </si>
  <si>
    <t>Expenses After Rental Income (Less Vacancy &amp; Maint. Exp)</t>
  </si>
  <si>
    <t>Monthly Expenses After Rental Income (Less Vacancy &amp; Maint. Exp)</t>
  </si>
  <si>
    <t>Monthly Expenses After Rental Income</t>
  </si>
  <si>
    <t>Gross Rents</t>
  </si>
  <si>
    <t>Total Annual Return (ROI)</t>
  </si>
  <si>
    <t>Appreciation After X Years</t>
  </si>
  <si>
    <t>Principal Pay Down</t>
  </si>
  <si>
    <t>A simple way to compare properties is to look at how much rent you are "buying" for each dollar you are spending. The higher the ratio, the better.</t>
  </si>
  <si>
    <t>Financial Estimate Summary - Rosemont</t>
  </si>
  <si>
    <t>List Price (Sample)</t>
  </si>
  <si>
    <t>Competitor</t>
  </si>
  <si>
    <t>Rosemont</t>
  </si>
  <si>
    <t xml:space="preserve">Returns are based on assumptions. Actual returns will vary. Rosehaven Homes, LLC and Rosemont Hill, LLC  (the "Parties") hereby disclaims all warranties, express or implied, and makes no warranties or representations of any kind regarding the information provided or the estimates in this document. Further, we encourage all investors to seek professional advice before making real estate investment decisions. The Parities hereby disclaim any liability for the accuracy, completeness, or correctness of any information or assumptions provided.  </t>
  </si>
  <si>
    <t>Proforma</t>
  </si>
  <si>
    <t>HOA Fees (Up to $1,200 paid by Rosehaven / year)</t>
  </si>
  <si>
    <t>Management Fees (Up to $1,620/yr by Rosehaven)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</si>
</sst>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00%"/>
    <numFmt numFmtId="168" formatCode="&quot;$&quot;#,##0"/>
  </numFmts>
  <fonts count="25" x14ac:knownFonts="1">
    <font>
      <sz val="11"/>
      <color theme="1"/>
      <name val="Aptos Narrow"/>
      <family val="2"/>
      <scheme val="minor"/>
    </font>
    <font>
      <sz val="11"/>
      <color theme="1"/>
      <name val="Aptos Narrow"/>
      <family val="2"/>
      <scheme val="minor"/>
    </font>
    <font>
      <b/>
      <sz val="11"/>
      <color theme="1"/>
      <name val="Aptos Narrow"/>
      <family val="2"/>
      <scheme val="minor"/>
    </font>
    <font>
      <b/>
      <sz val="14"/>
      <color theme="0"/>
      <name val="Aptos Narrow"/>
      <family val="2"/>
      <scheme val="minor"/>
    </font>
    <font>
      <b/>
      <sz val="14"/>
      <color theme="0"/>
      <name val="Cambria"/>
      <family val="1"/>
    </font>
    <font>
      <sz val="11"/>
      <color theme="1"/>
      <name val="Cambria"/>
      <family val="1"/>
    </font>
    <font>
      <b/>
      <sz val="11"/>
      <color theme="1"/>
      <name val="Cambria"/>
      <family val="1"/>
    </font>
    <font>
      <b/>
      <sz val="11"/>
      <color theme="0"/>
      <name val="Cambria"/>
      <family val="1"/>
    </font>
    <font>
      <b/>
      <sz val="11"/>
      <name val="Cambria"/>
      <family val="1"/>
    </font>
    <font>
      <i/>
      <sz val="11"/>
      <color theme="1"/>
      <name val="Aptos Narrow"/>
      <family val="2"/>
      <scheme val="minor"/>
    </font>
    <font>
      <b/>
      <i/>
      <sz val="11"/>
      <color theme="1"/>
      <name val="Cambria"/>
      <family val="1"/>
    </font>
    <font>
      <i/>
      <sz val="11"/>
      <color theme="1"/>
      <name val="Cambria"/>
      <family val="1"/>
    </font>
    <font>
      <b/>
      <sz val="12"/>
      <name val="Arial Narrow"/>
      <family val="2"/>
    </font>
    <font>
      <sz val="12"/>
      <name val="Arial Narrow"/>
      <family val="2"/>
    </font>
    <font>
      <sz val="10"/>
      <name val="Helvetica"/>
    </font>
    <font>
      <b/>
      <sz val="12"/>
      <name val="Cambria"/>
      <family val="1"/>
    </font>
    <font>
      <u/>
      <sz val="11"/>
      <color theme="10"/>
      <name val="Aptos Narrow"/>
      <family val="2"/>
      <scheme val="minor"/>
    </font>
    <font>
      <b/>
      <sz val="11"/>
      <color theme="0"/>
      <name val="Aptos Narrow"/>
      <family val="2"/>
      <scheme val="minor"/>
    </font>
    <font>
      <sz val="11"/>
      <color theme="0"/>
      <name val="Cambria"/>
      <family val="1"/>
    </font>
    <font>
      <b/>
      <sz val="18"/>
      <color theme="4" tint="-0.499984740745262"/>
      <name val="Cambria"/>
      <family val="1"/>
    </font>
    <font>
      <b/>
      <sz val="10"/>
      <color theme="0"/>
      <name val="Cambria"/>
      <family val="1"/>
    </font>
    <font>
      <b/>
      <sz val="10"/>
      <color theme="1"/>
      <name val="Cambria"/>
      <family val="1"/>
    </font>
    <font>
      <sz val="10"/>
      <color theme="1"/>
      <name val="Cambria"/>
      <family val="1"/>
    </font>
    <font>
      <sz val="10"/>
      <color theme="1"/>
      <name val="Aptos Narrow"/>
      <family val="2"/>
      <scheme val="minor"/>
    </font>
    <font>
      <i/>
      <sz val="9"/>
      <color theme="1"/>
      <name val="Cambria"/>
      <family val="1"/>
    </font>
  </fonts>
  <fills count="7">
    <fill>
      <patternFill patternType="none"/>
    </fill>
    <fill>
      <patternFill patternType="gray125"/>
    </fill>
    <fill>
      <patternFill patternType="solid">
        <fgColor theme="4" tint="-0.49998474074526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89999084444715716"/>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6" fillId="0" borderId="0" applyNumberFormat="0" applyFill="0" applyBorder="0" applyAlignment="0" applyProtection="0"/>
  </cellStyleXfs>
  <cellXfs count="116">
    <xf numFmtId="0" fontId="0" fillId="0" borderId="0" xfId="0"/>
    <xf numFmtId="0" fontId="2" fillId="0" borderId="0" xfId="0" applyFont="1"/>
    <xf numFmtId="9" fontId="0" fillId="0" borderId="0" xfId="3" applyFont="1"/>
    <xf numFmtId="44" fontId="0" fillId="0" borderId="0" xfId="0" applyNumberFormat="1"/>
    <xf numFmtId="8" fontId="0" fillId="0" borderId="0" xfId="0" applyNumberFormat="1"/>
    <xf numFmtId="0" fontId="0" fillId="2" borderId="0" xfId="0" applyFill="1"/>
    <xf numFmtId="166" fontId="0" fillId="0" borderId="0" xfId="3" applyNumberFormat="1" applyFont="1"/>
    <xf numFmtId="0" fontId="4" fillId="2" borderId="0" xfId="0" applyFont="1" applyFill="1"/>
    <xf numFmtId="0" fontId="5" fillId="0" borderId="0" xfId="0" applyFont="1"/>
    <xf numFmtId="0" fontId="9" fillId="0" borderId="0" xfId="0" applyFont="1"/>
    <xf numFmtId="0" fontId="0" fillId="4" borderId="0" xfId="0" applyFill="1"/>
    <xf numFmtId="0" fontId="13" fillId="4" borderId="0" xfId="0" applyFont="1" applyFill="1"/>
    <xf numFmtId="0" fontId="12" fillId="4" borderId="0" xfId="0" applyFont="1" applyFill="1"/>
    <xf numFmtId="0" fontId="14" fillId="4" borderId="0" xfId="0" applyFont="1" applyFill="1"/>
    <xf numFmtId="0" fontId="15" fillId="0" borderId="0" xfId="0" applyFont="1"/>
    <xf numFmtId="0" fontId="16" fillId="0" borderId="0" xfId="4"/>
    <xf numFmtId="0" fontId="9" fillId="4" borderId="0" xfId="0" applyFont="1" applyFill="1"/>
    <xf numFmtId="0" fontId="5" fillId="4" borderId="0" xfId="0" applyFont="1" applyFill="1"/>
    <xf numFmtId="0" fontId="6" fillId="4" borderId="0" xfId="0" applyFont="1" applyFill="1"/>
    <xf numFmtId="0" fontId="2" fillId="4" borderId="0" xfId="0" applyFont="1" applyFill="1"/>
    <xf numFmtId="164" fontId="6" fillId="4" borderId="0" xfId="0" applyNumberFormat="1" applyFont="1" applyFill="1"/>
    <xf numFmtId="164" fontId="5" fillId="4" borderId="0" xfId="0" applyNumberFormat="1" applyFont="1" applyFill="1"/>
    <xf numFmtId="164" fontId="5" fillId="3" borderId="1" xfId="0" applyNumberFormat="1" applyFont="1" applyFill="1" applyBorder="1" applyAlignment="1">
      <alignment horizontal="center"/>
    </xf>
    <xf numFmtId="164" fontId="6" fillId="5" borderId="1" xfId="2" applyNumberFormat="1" applyFont="1" applyFill="1" applyBorder="1"/>
    <xf numFmtId="0" fontId="15" fillId="4" borderId="0" xfId="0" applyFont="1" applyFill="1"/>
    <xf numFmtId="168" fontId="15" fillId="4" borderId="0" xfId="0" applyNumberFormat="1" applyFont="1" applyFill="1"/>
    <xf numFmtId="168" fontId="6" fillId="4" borderId="0" xfId="0" applyNumberFormat="1" applyFont="1" applyFill="1"/>
    <xf numFmtId="164" fontId="6" fillId="4" borderId="0" xfId="2" applyNumberFormat="1" applyFont="1" applyFill="1"/>
    <xf numFmtId="0" fontId="6" fillId="3" borderId="0" xfId="0" applyFont="1" applyFill="1"/>
    <xf numFmtId="0" fontId="4" fillId="4" borderId="0" xfId="0" applyFont="1" applyFill="1" applyAlignment="1">
      <alignment horizontal="center"/>
    </xf>
    <xf numFmtId="0" fontId="0" fillId="0" borderId="0" xfId="0" applyProtection="1">
      <protection hidden="1"/>
    </xf>
    <xf numFmtId="0" fontId="17" fillId="2" borderId="0" xfId="0" applyFont="1" applyFill="1" applyProtection="1">
      <protection hidden="1"/>
    </xf>
    <xf numFmtId="0" fontId="17" fillId="2" borderId="0" xfId="0" applyFont="1" applyFill="1" applyAlignment="1" applyProtection="1">
      <alignment horizontal="center"/>
      <protection hidden="1"/>
    </xf>
    <xf numFmtId="44" fontId="17" fillId="2" borderId="0" xfId="0" applyNumberFormat="1" applyFont="1" applyFill="1" applyProtection="1">
      <protection hidden="1"/>
    </xf>
    <xf numFmtId="164" fontId="0" fillId="0" borderId="0" xfId="0" applyNumberFormat="1" applyProtection="1">
      <protection hidden="1"/>
    </xf>
    <xf numFmtId="10" fontId="0" fillId="0" borderId="0" xfId="3" applyNumberFormat="1" applyFont="1" applyProtection="1">
      <protection hidden="1"/>
    </xf>
    <xf numFmtId="44" fontId="0" fillId="0" borderId="0" xfId="0" applyNumberFormat="1" applyProtection="1">
      <protection hidden="1"/>
    </xf>
    <xf numFmtId="10" fontId="0" fillId="0" borderId="0" xfId="0" applyNumberFormat="1" applyProtection="1">
      <protection hidden="1"/>
    </xf>
    <xf numFmtId="165" fontId="0" fillId="0" borderId="0" xfId="1" applyNumberFormat="1" applyFont="1" applyProtection="1">
      <protection hidden="1"/>
    </xf>
    <xf numFmtId="43" fontId="0" fillId="0" borderId="0" xfId="0" applyNumberFormat="1" applyProtection="1">
      <protection hidden="1"/>
    </xf>
    <xf numFmtId="0" fontId="2" fillId="0" borderId="0" xfId="0" applyFont="1" applyProtection="1">
      <protection hidden="1"/>
    </xf>
    <xf numFmtId="43" fontId="2" fillId="0" borderId="0" xfId="0" applyNumberFormat="1" applyFont="1" applyProtection="1">
      <protection hidden="1"/>
    </xf>
    <xf numFmtId="0" fontId="0" fillId="4" borderId="0" xfId="0" applyFill="1" applyProtection="1">
      <protection hidden="1"/>
    </xf>
    <xf numFmtId="0" fontId="0" fillId="4" borderId="0" xfId="0" applyFill="1" applyProtection="1">
      <protection locked="0"/>
    </xf>
    <xf numFmtId="0" fontId="5" fillId="4" borderId="0" xfId="0" applyFont="1" applyFill="1" applyProtection="1">
      <protection locked="0"/>
    </xf>
    <xf numFmtId="0" fontId="9" fillId="4" borderId="0" xfId="0" applyFont="1" applyFill="1" applyProtection="1">
      <protection locked="0"/>
    </xf>
    <xf numFmtId="0" fontId="4" fillId="2" borderId="0" xfId="0" applyFont="1" applyFill="1" applyProtection="1">
      <protection locked="0"/>
    </xf>
    <xf numFmtId="0" fontId="5" fillId="2" borderId="0" xfId="0" applyFont="1" applyFill="1" applyProtection="1">
      <protection locked="0"/>
    </xf>
    <xf numFmtId="0" fontId="7" fillId="2" borderId="0" xfId="0" applyFont="1" applyFill="1" applyAlignment="1" applyProtection="1">
      <alignment horizontal="center"/>
      <protection locked="0"/>
    </xf>
    <xf numFmtId="0" fontId="18" fillId="4" borderId="0" xfId="0" applyFont="1" applyFill="1" applyAlignment="1" applyProtection="1">
      <alignment horizontal="center"/>
      <protection locked="0"/>
    </xf>
    <xf numFmtId="164" fontId="5" fillId="4" borderId="0" xfId="2" applyNumberFormat="1" applyFont="1" applyFill="1" applyBorder="1" applyProtection="1">
      <protection locked="0"/>
    </xf>
    <xf numFmtId="9" fontId="5" fillId="4" borderId="0" xfId="3" applyFont="1" applyFill="1" applyBorder="1" applyProtection="1">
      <protection locked="0"/>
    </xf>
    <xf numFmtId="164" fontId="5" fillId="4" borderId="0" xfId="0" applyNumberFormat="1" applyFont="1" applyFill="1" applyProtection="1">
      <protection locked="0"/>
    </xf>
    <xf numFmtId="164" fontId="11" fillId="4" borderId="0" xfId="2" applyNumberFormat="1" applyFont="1" applyFill="1" applyBorder="1" applyProtection="1">
      <protection locked="0"/>
    </xf>
    <xf numFmtId="44" fontId="11" fillId="4" borderId="0" xfId="2" applyFont="1" applyFill="1" applyBorder="1" applyProtection="1">
      <protection locked="0"/>
    </xf>
    <xf numFmtId="165" fontId="5" fillId="4" borderId="0" xfId="1" applyNumberFormat="1" applyFont="1" applyFill="1" applyBorder="1" applyProtection="1">
      <protection locked="0"/>
    </xf>
    <xf numFmtId="0" fontId="6" fillId="4" borderId="0" xfId="0" applyFont="1" applyFill="1" applyProtection="1">
      <protection locked="0"/>
    </xf>
    <xf numFmtId="10" fontId="8" fillId="4" borderId="0" xfId="0" applyNumberFormat="1" applyFont="1" applyFill="1" applyAlignment="1" applyProtection="1">
      <alignment horizontal="right"/>
      <protection locked="0"/>
    </xf>
    <xf numFmtId="164" fontId="6" fillId="4" borderId="0" xfId="0" applyNumberFormat="1" applyFont="1" applyFill="1" applyProtection="1">
      <protection locked="0"/>
    </xf>
    <xf numFmtId="164" fontId="10" fillId="4" borderId="0" xfId="0" applyNumberFormat="1" applyFont="1" applyFill="1" applyProtection="1">
      <protection locked="0"/>
    </xf>
    <xf numFmtId="0" fontId="9" fillId="0" borderId="0" xfId="0" applyFont="1" applyProtection="1">
      <protection locked="0"/>
    </xf>
    <xf numFmtId="164" fontId="6" fillId="4" borderId="0" xfId="2" applyNumberFormat="1" applyFont="1" applyFill="1" applyBorder="1" applyProtection="1">
      <protection locked="0"/>
    </xf>
    <xf numFmtId="10" fontId="5" fillId="4" borderId="0" xfId="3" applyNumberFormat="1" applyFont="1" applyFill="1" applyBorder="1" applyProtection="1">
      <protection locked="0"/>
    </xf>
    <xf numFmtId="167" fontId="5" fillId="4" borderId="0" xfId="3" applyNumberFormat="1" applyFont="1" applyFill="1" applyBorder="1" applyProtection="1">
      <protection locked="0"/>
    </xf>
    <xf numFmtId="165" fontId="6" fillId="4" borderId="0" xfId="1" applyNumberFormat="1" applyFont="1" applyFill="1" applyAlignment="1" applyProtection="1">
      <alignment horizontal="right" indent="2"/>
      <protection locked="0"/>
    </xf>
    <xf numFmtId="10" fontId="6" fillId="4" borderId="0" xfId="3" applyNumberFormat="1" applyFont="1" applyFill="1" applyBorder="1" applyProtection="1">
      <protection locked="0"/>
    </xf>
    <xf numFmtId="44" fontId="6" fillId="4" borderId="0" xfId="0" applyNumberFormat="1" applyFont="1" applyFill="1" applyProtection="1">
      <protection locked="0"/>
    </xf>
    <xf numFmtId="1" fontId="5" fillId="4" borderId="0" xfId="1" applyNumberFormat="1" applyFont="1" applyFill="1" applyBorder="1" applyAlignment="1" applyProtection="1">
      <alignment horizontal="center" vertical="center"/>
      <protection locked="0"/>
    </xf>
    <xf numFmtId="8" fontId="6" fillId="4" borderId="0" xfId="0" applyNumberFormat="1" applyFont="1" applyFill="1" applyProtection="1">
      <protection locked="0"/>
    </xf>
    <xf numFmtId="0" fontId="4" fillId="4" borderId="0" xfId="0" applyFont="1" applyFill="1"/>
    <xf numFmtId="164" fontId="0" fillId="0" borderId="0" xfId="0" applyNumberFormat="1"/>
    <xf numFmtId="44" fontId="9" fillId="4" borderId="0" xfId="0" applyNumberFormat="1" applyFont="1" applyFill="1" applyProtection="1">
      <protection locked="0"/>
    </xf>
    <xf numFmtId="164" fontId="5" fillId="0" borderId="0" xfId="0" applyNumberFormat="1" applyFont="1"/>
    <xf numFmtId="164" fontId="8" fillId="4" borderId="0" xfId="0" applyNumberFormat="1" applyFont="1" applyFill="1" applyAlignment="1" applyProtection="1">
      <alignment horizontal="right"/>
      <protection locked="0"/>
    </xf>
    <xf numFmtId="164" fontId="9" fillId="0" borderId="0" xfId="0" applyNumberFormat="1" applyFont="1"/>
    <xf numFmtId="0" fontId="4" fillId="4" borderId="0" xfId="0" applyFont="1" applyFill="1" applyProtection="1">
      <protection locked="0"/>
    </xf>
    <xf numFmtId="0" fontId="7" fillId="4" borderId="0" xfId="0" applyFont="1" applyFill="1" applyAlignment="1" applyProtection="1">
      <alignment horizontal="center"/>
      <protection locked="0"/>
    </xf>
    <xf numFmtId="164" fontId="6" fillId="0" borderId="0" xfId="0" applyNumberFormat="1" applyFont="1"/>
    <xf numFmtId="0" fontId="20" fillId="2" borderId="0" xfId="0" applyFont="1" applyFill="1" applyProtection="1">
      <protection locked="0"/>
    </xf>
    <xf numFmtId="1" fontId="5" fillId="4" borderId="0" xfId="0" applyNumberFormat="1" applyFont="1" applyFill="1" applyProtection="1">
      <protection locked="0"/>
    </xf>
    <xf numFmtId="43" fontId="0" fillId="0" borderId="0" xfId="1" applyFont="1" applyProtection="1">
      <protection hidden="1"/>
    </xf>
    <xf numFmtId="9" fontId="5" fillId="6" borderId="0" xfId="3" applyFont="1" applyFill="1" applyBorder="1" applyProtection="1">
      <protection locked="0"/>
    </xf>
    <xf numFmtId="10" fontId="5" fillId="6" borderId="0" xfId="3" applyNumberFormat="1" applyFont="1" applyFill="1" applyBorder="1" applyProtection="1">
      <protection locked="0"/>
    </xf>
    <xf numFmtId="164" fontId="10" fillId="4" borderId="0" xfId="2" applyNumberFormat="1" applyFont="1" applyFill="1" applyBorder="1" applyProtection="1">
      <protection locked="0"/>
    </xf>
    <xf numFmtId="166" fontId="5" fillId="6" borderId="0" xfId="3" applyNumberFormat="1" applyFont="1" applyFill="1" applyBorder="1" applyProtection="1">
      <protection locked="0"/>
    </xf>
    <xf numFmtId="43" fontId="0" fillId="0" borderId="0" xfId="0" applyNumberFormat="1"/>
    <xf numFmtId="43" fontId="0" fillId="0" borderId="0" xfId="1" applyFont="1"/>
    <xf numFmtId="44" fontId="5" fillId="4" borderId="0" xfId="0" applyNumberFormat="1" applyFont="1" applyFill="1"/>
    <xf numFmtId="10" fontId="6" fillId="4" borderId="0" xfId="3" applyNumberFormat="1" applyFont="1" applyFill="1" applyProtection="1">
      <protection locked="0"/>
    </xf>
    <xf numFmtId="10" fontId="6" fillId="4" borderId="0" xfId="0" applyNumberFormat="1" applyFont="1" applyFill="1"/>
    <xf numFmtId="0" fontId="21" fillId="4" borderId="0" xfId="0" applyFont="1" applyFill="1"/>
    <xf numFmtId="0" fontId="22" fillId="4" borderId="0" xfId="0" applyFont="1" applyFill="1"/>
    <xf numFmtId="164" fontId="22" fillId="4" borderId="0" xfId="0" applyNumberFormat="1" applyFont="1" applyFill="1" applyProtection="1">
      <protection locked="0"/>
    </xf>
    <xf numFmtId="0" fontId="22" fillId="4" borderId="0" xfId="0" applyFont="1" applyFill="1" applyProtection="1">
      <protection locked="0"/>
    </xf>
    <xf numFmtId="10" fontId="22" fillId="4" borderId="0" xfId="3" applyNumberFormat="1" applyFont="1" applyFill="1" applyBorder="1" applyProtection="1">
      <protection locked="0"/>
    </xf>
    <xf numFmtId="10" fontId="22" fillId="4" borderId="0" xfId="0" applyNumberFormat="1" applyFont="1" applyFill="1"/>
    <xf numFmtId="0" fontId="22" fillId="4" borderId="2" xfId="0" applyFont="1" applyFill="1" applyBorder="1" applyProtection="1">
      <protection locked="0"/>
    </xf>
    <xf numFmtId="1" fontId="22" fillId="4" borderId="2" xfId="0" applyNumberFormat="1" applyFont="1" applyFill="1" applyBorder="1" applyProtection="1">
      <protection locked="0"/>
    </xf>
    <xf numFmtId="0" fontId="22" fillId="4" borderId="2" xfId="0" applyFont="1" applyFill="1" applyBorder="1"/>
    <xf numFmtId="164" fontId="22" fillId="4" borderId="2" xfId="0" applyNumberFormat="1" applyFont="1" applyFill="1" applyBorder="1" applyProtection="1">
      <protection locked="0"/>
    </xf>
    <xf numFmtId="0" fontId="21" fillId="4" borderId="2" xfId="0" applyFont="1" applyFill="1" applyBorder="1"/>
    <xf numFmtId="10" fontId="21" fillId="4" borderId="2" xfId="3" applyNumberFormat="1" applyFont="1" applyFill="1" applyBorder="1" applyProtection="1">
      <protection locked="0"/>
    </xf>
    <xf numFmtId="0" fontId="23" fillId="4" borderId="0" xfId="0" applyFont="1" applyFill="1"/>
    <xf numFmtId="0" fontId="23" fillId="4" borderId="0" xfId="0" applyFont="1" applyFill="1" applyAlignment="1">
      <alignment horizontal="right"/>
    </xf>
    <xf numFmtId="10" fontId="21" fillId="4" borderId="0" xfId="3" applyNumberFormat="1" applyFont="1" applyFill="1" applyBorder="1" applyProtection="1">
      <protection locked="0"/>
    </xf>
    <xf numFmtId="164" fontId="21" fillId="4" borderId="0" xfId="0" applyNumberFormat="1" applyFont="1" applyFill="1" applyProtection="1">
      <protection locked="0"/>
    </xf>
    <xf numFmtId="0" fontId="24" fillId="4" borderId="0" xfId="0" applyFont="1" applyFill="1" applyAlignment="1" applyProtection="1">
      <alignment horizontal="center"/>
      <protection locked="0"/>
    </xf>
    <xf numFmtId="0" fontId="24" fillId="4" borderId="0" xfId="0" applyFont="1" applyFill="1" applyAlignment="1" applyProtection="1">
      <alignment horizontal="center"/>
      <protection locked="0"/>
    </xf>
    <xf numFmtId="0" fontId="24" fillId="4" borderId="3" xfId="0" applyFont="1" applyFill="1" applyBorder="1" applyAlignment="1">
      <alignment horizontal="center" vertical="top" wrapText="1"/>
    </xf>
    <xf numFmtId="0" fontId="24" fillId="4" borderId="0" xfId="0" applyFont="1" applyFill="1" applyAlignment="1">
      <alignment horizontal="center" vertical="top" wrapText="1"/>
    </xf>
    <xf numFmtId="0" fontId="20" fillId="2" borderId="0" xfId="0" applyFont="1" applyFill="1" applyAlignment="1" applyProtection="1">
      <alignment horizontal="center"/>
      <protection locked="0"/>
    </xf>
    <xf numFmtId="0" fontId="4" fillId="2" borderId="0" xfId="0" applyFont="1" applyFill="1" applyAlignment="1">
      <alignment horizontal="center"/>
    </xf>
    <xf numFmtId="0" fontId="11" fillId="4" borderId="0" xfId="0" applyFont="1" applyFill="1" applyAlignment="1">
      <alignment horizontal="left" vertical="top" wrapText="1"/>
    </xf>
    <xf numFmtId="0" fontId="0" fillId="4" borderId="0" xfId="0" applyFill="1" applyAlignment="1">
      <alignment horizontal="center"/>
    </xf>
    <xf numFmtId="0" fontId="19" fillId="4" borderId="0" xfId="0" applyFont="1" applyFill="1" applyAlignment="1">
      <alignment horizontal="center"/>
    </xf>
    <xf numFmtId="0" fontId="3" fillId="2" borderId="0" xfId="0" applyFont="1" applyFill="1" applyAlignment="1">
      <alignment horizontal="left"/>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'All Cash'!$O$5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'All Cash'!$O$7:$O$36</c:f>
              <c:numCache>
                <c:formatCode>0.00%</c:formatCode>
                <c:ptCount val="30"/>
                <c:pt idx="0">
                  <c:v>8.6243350080838395E-3</c:v>
                </c:pt>
                <c:pt idx="1">
                  <c:v>4.376962633297677E-2</c:v>
                </c:pt>
                <c:pt idx="2">
                  <c:v>5.5930556598148558E-2</c:v>
                </c:pt>
                <c:pt idx="3">
                  <c:v>6.235793565592717E-2</c:v>
                </c:pt>
                <c:pt idx="4">
                  <c:v>6.6502301648504195E-2</c:v>
                </c:pt>
                <c:pt idx="5">
                  <c:v>6.9514159188415151E-2</c:v>
                </c:pt>
                <c:pt idx="6">
                  <c:v>7.1886870905030306E-2</c:v>
                </c:pt>
                <c:pt idx="7">
                  <c:v>7.3867380674195335E-2</c:v>
                </c:pt>
                <c:pt idx="8">
                  <c:v>7.5593121677783717E-2</c:v>
                </c:pt>
                <c:pt idx="9">
                  <c:v>7.7146779922898992E-2</c:v>
                </c:pt>
                <c:pt idx="10">
                  <c:v>7.8581187029201235E-2</c:v>
                </c:pt>
                <c:pt idx="11">
                  <c:v>7.9931766887528996E-2</c:v>
                </c:pt>
                <c:pt idx="12">
                  <c:v>8.1223237960598244E-2</c:v>
                </c:pt>
                <c:pt idx="13">
                  <c:v>8.2473443413575862E-2</c:v>
                </c:pt>
                <c:pt idx="14">
                  <c:v>8.3695649429142302E-2</c:v>
                </c:pt>
                <c:pt idx="15">
                  <c:v>8.489998188465156E-2</c:v>
                </c:pt>
                <c:pt idx="16">
                  <c:v>8.6094356191592086E-2</c:v>
                </c:pt>
                <c:pt idx="17">
                  <c:v>8.7285097408861548E-2</c:v>
                </c:pt>
                <c:pt idx="18">
                  <c:v>8.8477364747328618E-2</c:v>
                </c:pt>
                <c:pt idx="19">
                  <c:v>8.9675448936446106E-2</c:v>
                </c:pt>
                <c:pt idx="20">
                  <c:v>9.0882984839853131E-2</c:v>
                </c:pt>
                <c:pt idx="21">
                  <c:v>9.2103106293745934E-2</c:v>
                </c:pt>
                <c:pt idx="22">
                  <c:v>9.3338560759883227E-2</c:v>
                </c:pt>
                <c:pt idx="23">
                  <c:v>9.4591795521405397E-2</c:v>
                </c:pt>
                <c:pt idx="24">
                  <c:v>9.5865023396898466E-2</c:v>
                </c:pt>
                <c:pt idx="25">
                  <c:v>9.7160273494422078E-2</c:v>
                </c:pt>
                <c:pt idx="26">
                  <c:v>9.8479430891422512E-2</c:v>
                </c:pt>
                <c:pt idx="27">
                  <c:v>9.9824268016457066E-2</c:v>
                </c:pt>
                <c:pt idx="28">
                  <c:v>0.10119646974315012</c:v>
                </c:pt>
                <c:pt idx="29">
                  <c:v>0.10259765367095861</c:v>
                </c:pt>
              </c:numCache>
            </c:numRef>
          </c:val>
          <c:smooth val="0"/>
          <c:extLst>
            <c:ext xmlns:c16="http://schemas.microsoft.com/office/drawing/2014/chart" uri="{C3380CC4-5D6E-409C-BE32-E72D297353CC}">
              <c16:uniqueId val="{00000000-0CF2-4C58-88F0-63307AC26BC6}"/>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'All Cash'!$M$5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'All Cash'!$M$7:$M$36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0CF2-4C58-88F0-63307AC26BC6}"/>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'All Cash'!$N$5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'All Cash'!$N$7:$N$36</c15:sqref>
                        </c15:formulaRef>
                      </c:ext>
                    </c:extLst>
                    <c:numCache>
                      <c:formatCode>_("$"* #,##0_);_("$"* \(#,##0\);_("$"* "-"??_);_(@_)</c:formatCode>
                      <c:ptCount val="30"/>
                      <c:pt idx="0">
                        <c:v>3022.8294203333862</c:v>
                      </c:pt>
                      <c:pt idx="1">
                        <c:v>30682.508059416723</c:v>
                      </c:pt>
                      <c:pt idx="2">
                        <c:v>58810.980262953221</c:v>
                      </c:pt>
                      <c:pt idx="3">
                        <c:v>87425.825789609909</c:v>
                      </c:pt>
                      <c:pt idx="4">
                        <c:v>116545.28363900362</c:v>
                      </c:pt>
                      <c:pt idx="5">
                        <c:v>146188.2767732371</c:v>
                      </c:pt>
                      <c:pt idx="6">
                        <c:v>176374.43776549186</c:v>
                      </c:pt>
                      <c:pt idx="7">
                        <c:v>207124.13541044373</c:v>
                      </c:pt>
                      <c:pt idx="8">
                        <c:v>238458.50233256881</c:v>
                      </c:pt>
                      <c:pt idx="9">
                        <c:v>270399.46362976101</c:v>
                      </c:pt>
                      <c:pt idx="10">
                        <c:v>302969.76659108541</c:v>
                      </c:pt>
                      <c:pt idx="11">
                        <c:v>336193.01152894698</c:v>
                      </c:pt>
                      <c:pt idx="12">
                        <c:v>370093.68376746593</c:v>
                      </c:pt>
                      <c:pt idx="13">
                        <c:v>404697.18683041679</c:v>
                      </c:pt>
                      <c:pt idx="14">
                        <c:v>440029.87687371572</c:v>
                      </c:pt>
                      <c:pt idx="15">
                        <c:v>476119.09840912605</c:v>
                      </c:pt>
                      <c:pt idx="16">
                        <c:v>512993.22136760154</c:v>
                      </c:pt>
                      <c:pt idx="17">
                        <c:v>550681.67955250759</c:v>
                      </c:pt>
                      <c:pt idx="18">
                        <c:v>589215.01053483505</c:v>
                      </c:pt>
                      <c:pt idx="19">
                        <c:v>628624.8970444873</c:v>
                      </c:pt>
                      <c:pt idx="20">
                        <c:v>668944.20991373912</c:v>
                      </c:pt>
                      <c:pt idx="21">
                        <c:v>710207.05263107503</c:v>
                      </c:pt>
                      <c:pt idx="22">
                        <c:v>752448.80756579875</c:v>
                      </c:pt>
                      <c:pt idx="23">
                        <c:v>795706.18392606231</c:v>
                      </c:pt>
                      <c:pt idx="24">
                        <c:v>840017.26751532301</c:v>
                      </c:pt>
                      <c:pt idx="25">
                        <c:v>885421.57235466863</c:v>
                      </c:pt>
                      <c:pt idx="26">
                        <c:v>931960.09424097708</c:v>
                      </c:pt>
                      <c:pt idx="27">
                        <c:v>979675.36631350988</c:v>
                      </c:pt>
                      <c:pt idx="28">
                        <c:v>1028611.5167042495</c:v>
                      </c:pt>
                      <c:pt idx="29">
                        <c:v>1078814.32835013</c:v>
                      </c:pt>
                    </c:numCache>
                  </c:numRef>
                </c:val>
                <c:smooth val="0"/>
                <c:extLst xmlns:c15="http://schemas.microsoft.com/office/drawing/2012/chart">
                  <c:ext xmlns:c16="http://schemas.microsoft.com/office/drawing/2014/chart" uri="{C3380CC4-5D6E-409C-BE32-E72D297353CC}">
                    <c16:uniqueId val="{00000002-0CF2-4C58-88F0-63307AC26BC6}"/>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'With Loan'!$O$5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'With Loan'!$O$7:$O$36</c:f>
              <c:numCache>
                <c:formatCode>0.00%</c:formatCode>
                <c:ptCount val="30"/>
                <c:pt idx="0">
                  <c:v>-2.7851131187505856E-2</c:v>
                </c:pt>
                <c:pt idx="1">
                  <c:v>6.6523959151178938E-2</c:v>
                </c:pt>
                <c:pt idx="2">
                  <c:v>9.9561288742199591E-2</c:v>
                </c:pt>
                <c:pt idx="3">
                  <c:v>0.11730727053877556</c:v>
                </c:pt>
                <c:pt idx="4">
                  <c:v>0.12897244517221818</c:v>
                </c:pt>
                <c:pt idx="5">
                  <c:v>0.13762807957918602</c:v>
                </c:pt>
                <c:pt idx="6">
                  <c:v>0.14459139658297709</c:v>
                </c:pt>
                <c:pt idx="7">
                  <c:v>0.15052188338286815</c:v>
                </c:pt>
                <c:pt idx="8">
                  <c:v>0.15578672872543797</c:v>
                </c:pt>
                <c:pt idx="9">
                  <c:v>0.16060699871384837</c:v>
                </c:pt>
                <c:pt idx="10">
                  <c:v>0.16512408124419159</c:v>
                </c:pt>
                <c:pt idx="11">
                  <c:v>0.16943290906633776</c:v>
                </c:pt>
                <c:pt idx="12">
                  <c:v>0.17359984993084773</c:v>
                </c:pt>
                <c:pt idx="13">
                  <c:v>0.17767293030646186</c:v>
                </c:pt>
                <c:pt idx="14">
                  <c:v>0.18168797036187881</c:v>
                </c:pt>
                <c:pt idx="15">
                  <c:v>0.18567241905960716</c:v>
                </c:pt>
                <c:pt idx="16">
                  <c:v>0.189647836399846</c:v>
                </c:pt>
                <c:pt idx="17">
                  <c:v>0.19363154894747561</c:v>
                </c:pt>
                <c:pt idx="18">
                  <c:v>0.19763778324638204</c:v>
                </c:pt>
                <c:pt idx="19">
                  <c:v>0.20167845988450644</c:v>
                </c:pt>
                <c:pt idx="20">
                  <c:v>0.20576376134969696</c:v>
                </c:pt>
                <c:pt idx="21">
                  <c:v>0.2099025456754301</c:v>
                </c:pt>
                <c:pt idx="22">
                  <c:v>0.21410265283314048</c:v>
                </c:pt>
                <c:pt idx="23">
                  <c:v>0.21837113517647058</c:v>
                </c:pt>
                <c:pt idx="24">
                  <c:v>0.22271443322587026</c:v>
                </c:pt>
                <c:pt idx="25">
                  <c:v>0.22713851153250403</c:v>
                </c:pt>
                <c:pt idx="26">
                  <c:v>0.23164896499413865</c:v>
                </c:pt>
                <c:pt idx="27">
                  <c:v>0.23625110303287547</c:v>
                </c:pt>
                <c:pt idx="28">
                  <c:v>0.24095001700130561</c:v>
                </c:pt>
                <c:pt idx="29">
                  <c:v>0.2457506347533969</c:v>
                </c:pt>
              </c:numCache>
            </c:numRef>
          </c:val>
          <c:smooth val="0"/>
          <c:extLst>
            <c:ext xmlns:c16="http://schemas.microsoft.com/office/drawing/2014/chart" uri="{C3380CC4-5D6E-409C-BE32-E72D297353CC}">
              <c16:uniqueId val="{00000000-F50A-4A7D-BD8C-8909B2749CF2}"/>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'With Loan'!$M$5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'With Loan'!$M$7:$M$36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F50A-4A7D-BD8C-8909B2749CF2}"/>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'With Loan'!$N$5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'With Loan'!$N$7:$N$36</c15:sqref>
                        </c15:formulaRef>
                      </c:ext>
                    </c:extLst>
                    <c:numCache>
                      <c:formatCode>_("$"* #,##0_);_("$"* \(#,##0\);_("$"* "-"??_);_(@_)</c:formatCode>
                      <c:ptCount val="30"/>
                      <c:pt idx="0">
                        <c:v>-4032.9642089924637</c:v>
                      </c:pt>
                      <c:pt idx="1">
                        <c:v>19265.913796530956</c:v>
                      </c:pt>
                      <c:pt idx="2">
                        <c:v>43250.715175107369</c:v>
                      </c:pt>
                      <c:pt idx="3">
                        <c:v>67946.399785687827</c:v>
                      </c:pt>
                      <c:pt idx="4">
                        <c:v>93378.838335862005</c:v>
                      </c:pt>
                      <c:pt idx="5">
                        <c:v>119574.84570915124</c:v>
                      </c:pt>
                      <c:pt idx="6">
                        <c:v>146562.21551470924</c:v>
                      </c:pt>
                      <c:pt idx="7">
                        <c:v>174369.75590436909</c:v>
                      </c:pt>
                      <c:pt idx="8">
                        <c:v>203027.32670362911</c:v>
                      </c:pt>
                      <c:pt idx="9">
                        <c:v>232565.87790488749</c:v>
                      </c:pt>
                      <c:pt idx="10">
                        <c:v>263017.4895730142</c:v>
                      </c:pt>
                      <c:pt idx="11">
                        <c:v>294415.41321519634</c:v>
                      </c:pt>
                      <c:pt idx="12">
                        <c:v>326794.11466890236</c:v>
                      </c:pt>
                      <c:pt idx="13">
                        <c:v>360189.31856380322</c:v>
                      </c:pt>
                      <c:pt idx="14">
                        <c:v>394638.0544155339</c:v>
                      </c:pt>
                      <c:pt idx="15">
                        <c:v>430178.70441132557</c:v>
                      </c:pt>
                      <c:pt idx="16">
                        <c:v>466851.05294973927</c:v>
                      </c:pt>
                      <c:pt idx="17">
                        <c:v>504696.3379990359</c:v>
                      </c:pt>
                      <c:pt idx="18">
                        <c:v>543757.30434108526</c:v>
                      </c:pt>
                      <c:pt idx="19">
                        <c:v>584078.25877019658</c:v>
                      </c:pt>
                      <c:pt idx="20">
                        <c:v>625705.12731879763</c:v>
                      </c:pt>
                      <c:pt idx="21">
                        <c:v>668685.51458454912</c:v>
                      </c:pt>
                      <c:pt idx="22">
                        <c:v>713068.76523623045</c:v>
                      </c:pt>
                      <c:pt idx="23">
                        <c:v>758906.02777858253</c:v>
                      </c:pt>
                      <c:pt idx="24">
                        <c:v>806250.32065924932</c:v>
                      </c:pt>
                      <c:pt idx="25">
                        <c:v>855156.60080403229</c:v>
                      </c:pt>
                      <c:pt idx="26">
                        <c:v>905681.83466984169</c:v>
                      </c:pt>
                      <c:pt idx="27">
                        <c:v>957885.07190803532</c:v>
                      </c:pt>
                      <c:pt idx="28">
                        <c:v>1011827.5217342433</c:v>
                      </c:pt>
                      <c:pt idx="29">
                        <c:v>1067572.6321043391</c:v>
                      </c:pt>
                    </c:numCache>
                  </c:numRef>
                </c:val>
                <c:smooth val="0"/>
                <c:extLst xmlns:c15="http://schemas.microsoft.com/office/drawing/2012/chart">
                  <c:ext xmlns:c16="http://schemas.microsoft.com/office/drawing/2014/chart" uri="{C3380CC4-5D6E-409C-BE32-E72D297353CC}">
                    <c16:uniqueId val="{00000002-F50A-4A7D-BD8C-8909B2749CF2}"/>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latin typeface="Cambria" panose="02040503050406030204" pitchFamily="18" charset="0"/>
                <a:ea typeface="Cambria" panose="02040503050406030204" pitchFamily="18" charset="0"/>
              </a:rPr>
              <a:t>Estimated Annual Return on Investment to Years Held</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endParaRPr lang="en-US"/>
        </a:p>
      </c:txPr>
    </c:title>
    <c:autoTitleDeleted val="0"/>
    <c:plotArea>
      <c:layout/>
      <c:lineChart>
        <c:grouping val="standard"/>
        <c:varyColors val="0"/>
        <c:ser>
          <c:idx val="2"/>
          <c:order val="2"/>
          <c:tx>
            <c:strRef>
              <c:f>'Owner Occupier'!$O$5</c:f>
              <c:strCache>
                <c:ptCount val="1"/>
                <c:pt idx="0">
                  <c:v>Return on Investment</c:v>
                </c:pt>
              </c:strCache>
            </c:strRef>
          </c:tx>
          <c:spPr>
            <a:ln w="22225" cap="rnd">
              <a:solidFill>
                <a:schemeClr val="accent1">
                  <a:tint val="65000"/>
                </a:schemeClr>
              </a:solidFill>
            </a:ln>
            <a:effectLst>
              <a:glow rad="139700">
                <a:schemeClr val="accent1">
                  <a:tint val="65000"/>
                  <a:satMod val="175000"/>
                  <a:alpha val="14000"/>
                </a:schemeClr>
              </a:glow>
            </a:effectLst>
          </c:spPr>
          <c:marker>
            <c:symbol val="circle"/>
            <c:size val="4"/>
            <c:spPr>
              <a:solidFill>
                <a:schemeClr val="accent1">
                  <a:tint val="65000"/>
                  <a:lumMod val="60000"/>
                  <a:lumOff val="40000"/>
                </a:schemeClr>
              </a:solidFill>
              <a:ln>
                <a:noFill/>
              </a:ln>
              <a:effectLst>
                <a:glow rad="63500">
                  <a:schemeClr val="accent1">
                    <a:tint val="65000"/>
                    <a:satMod val="175000"/>
                    <a:alpha val="25000"/>
                  </a:schemeClr>
                </a:glow>
              </a:effectLst>
            </c:spPr>
          </c:marker>
          <c:dLbls>
            <c:delete val="1"/>
          </c:dLbls>
          <c:val>
            <c:numRef>
              <c:f>'Owner Occupier'!$O$7:$O$36</c:f>
              <c:numCache>
                <c:formatCode>0.00%</c:formatCode>
                <c:ptCount val="30"/>
                <c:pt idx="0">
                  <c:v>-0.3674935120514598</c:v>
                </c:pt>
                <c:pt idx="1">
                  <c:v>0.25574965827194751</c:v>
                </c:pt>
                <c:pt idx="2">
                  <c:v>0.47457075620245409</c:v>
                </c:pt>
                <c:pt idx="3">
                  <c:v>0.59260361469560441</c:v>
                </c:pt>
                <c:pt idx="4">
                  <c:v>0.67058480646108465</c:v>
                </c:pt>
                <c:pt idx="5">
                  <c:v>0.72876834682195113</c:v>
                </c:pt>
                <c:pt idx="6">
                  <c:v>0.77584209065434273</c:v>
                </c:pt>
                <c:pt idx="7">
                  <c:v>0.81615684146542578</c:v>
                </c:pt>
                <c:pt idx="8">
                  <c:v>0.85213606351847893</c:v>
                </c:pt>
                <c:pt idx="9">
                  <c:v>0.88523977519959429</c:v>
                </c:pt>
                <c:pt idx="10">
                  <c:v>0.91640269041834188</c:v>
                </c:pt>
                <c:pt idx="11">
                  <c:v>0.94625329698466587</c:v>
                </c:pt>
                <c:pt idx="12">
                  <c:v>0.97523182925850915</c:v>
                </c:pt>
                <c:pt idx="13">
                  <c:v>1.0036576882099122</c:v>
                </c:pt>
                <c:pt idx="14">
                  <c:v>1.0317699003642002</c:v>
                </c:pt>
                <c:pt idx="15">
                  <c:v>1.0597524113796966</c:v>
                </c:pt>
                <c:pt idx="16">
                  <c:v>1.0877504590752878</c:v>
                </c:pt>
                <c:pt idx="17">
                  <c:v>1.1158814952605667</c:v>
                </c:pt>
                <c:pt idx="18">
                  <c:v>1.1442426649507513</c:v>
                </c:pt>
                <c:pt idx="19">
                  <c:v>1.1729160481251939</c:v>
                </c:pt>
                <c:pt idx="20">
                  <c:v>1.2019724100895866</c:v>
                </c:pt>
                <c:pt idx="21">
                  <c:v>1.231473935216721</c:v>
                </c:pt>
                <c:pt idx="22">
                  <c:v>1.2614762537108835</c:v>
                </c:pt>
                <c:pt idx="23">
                  <c:v>1.2920299678352352</c:v>
                </c:pt>
                <c:pt idx="24">
                  <c:v>1.3231818179901931</c:v>
                </c:pt>
                <c:pt idx="25">
                  <c:v>1.3549755858438151</c:v>
                </c:pt>
                <c:pt idx="26">
                  <c:v>1.3874528029241928</c:v>
                </c:pt>
                <c:pt idx="27">
                  <c:v>1.420653313547495</c:v>
                </c:pt>
                <c:pt idx="28">
                  <c:v>1.4546157274822973</c:v>
                </c:pt>
                <c:pt idx="29">
                  <c:v>1.4893777883201313</c:v>
                </c:pt>
              </c:numCache>
            </c:numRef>
          </c:val>
          <c:smooth val="0"/>
          <c:extLst>
            <c:ext xmlns:c16="http://schemas.microsoft.com/office/drawing/2014/chart" uri="{C3380CC4-5D6E-409C-BE32-E72D297353CC}">
              <c16:uniqueId val="{00000000-3472-40B5-AC9C-E6F06108AAA9}"/>
            </c:ext>
          </c:extLst>
        </c:ser>
        <c:dLbls>
          <c:dLblPos val="ctr"/>
          <c:showLegendKey val="0"/>
          <c:showVal val="1"/>
          <c:showCatName val="0"/>
          <c:showSerName val="0"/>
          <c:showPercent val="0"/>
          <c:showBubbleSize val="0"/>
        </c:dLbls>
        <c:marker val="1"/>
        <c:smooth val="0"/>
        <c:axId val="933060368"/>
        <c:axId val="933061808"/>
        <c:extLst>
          <c:ext xmlns:c15="http://schemas.microsoft.com/office/drawing/2012/chart" uri="{02D57815-91ED-43cb-92C2-25804820EDAC}">
            <c15:filteredLineSeries>
              <c15:ser>
                <c:idx val="0"/>
                <c:order val="0"/>
                <c:tx>
                  <c:strRef>
                    <c:extLst>
                      <c:ext uri="{02D57815-91ED-43cb-92C2-25804820EDAC}">
                        <c15:formulaRef>
                          <c15:sqref>'Owner Occupier'!$M$5</c15:sqref>
                        </c15:formulaRef>
                      </c:ext>
                    </c:extLst>
                    <c:strCache>
                      <c:ptCount val="1"/>
                      <c:pt idx="0">
                        <c:v>Years</c:v>
                      </c:pt>
                    </c:strCache>
                  </c:strRef>
                </c:tx>
                <c:spPr>
                  <a:ln w="22225" cap="rnd">
                    <a:solidFill>
                      <a:schemeClr val="accent1">
                        <a:shade val="65000"/>
                      </a:schemeClr>
                    </a:solidFill>
                  </a:ln>
                  <a:effectLst>
                    <a:glow rad="139700">
                      <a:schemeClr val="accent1">
                        <a:shade val="65000"/>
                        <a:satMod val="175000"/>
                        <a:alpha val="14000"/>
                      </a:schemeClr>
                    </a:glow>
                  </a:effectLst>
                </c:spPr>
                <c:marker>
                  <c:symbol val="circle"/>
                  <c:size val="4"/>
                  <c:spPr>
                    <a:solidFill>
                      <a:schemeClr val="accent1">
                        <a:shade val="65000"/>
                        <a:lumMod val="60000"/>
                        <a:lumOff val="40000"/>
                      </a:schemeClr>
                    </a:solidFill>
                    <a:ln>
                      <a:noFill/>
                    </a:ln>
                    <a:effectLst>
                      <a:glow rad="63500">
                        <a:schemeClr val="accent1">
                          <a:shade val="65000"/>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uri="{CE6537A1-D6FC-4f65-9D91-7224C49458BB}">
                      <c15:showLeaderLines val="1"/>
                      <c15:leaderLines>
                        <c:spPr>
                          <a:ln w="9525">
                            <a:solidFill>
                              <a:schemeClr val="lt1">
                                <a:lumMod val="50000"/>
                              </a:schemeClr>
                            </a:solidFill>
                            <a:round/>
                          </a:ln>
                          <a:effectLst/>
                        </c:spPr>
                      </c15:leaderLines>
                    </c:ext>
                  </c:extLst>
                </c:dLbls>
                <c:val>
                  <c:numRef>
                    <c:extLst>
                      <c:ext uri="{02D57815-91ED-43cb-92C2-25804820EDAC}">
                        <c15:formulaRef>
                          <c15:sqref>'Owner Occupier'!$M$7:$M$36</c15:sqref>
                        </c15:formulaRef>
                      </c:ext>
                    </c:extLst>
                    <c:numCache>
                      <c:formatCode>General</c:formatCode>
                      <c:ptCount val="3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numCache>
                  </c:numRef>
                </c:val>
                <c:smooth val="0"/>
                <c:extLst>
                  <c:ext xmlns:c16="http://schemas.microsoft.com/office/drawing/2014/chart" uri="{C3380CC4-5D6E-409C-BE32-E72D297353CC}">
                    <c16:uniqueId val="{00000001-3472-40B5-AC9C-E6F06108AAA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'Owner Occupier'!$N$5</c15:sqref>
                        </c15:formulaRef>
                      </c:ext>
                    </c:extLst>
                    <c:strCache>
                      <c:ptCount val="1"/>
                      <c:pt idx="0">
                        <c:v>Total Projected Profit</c:v>
                      </c:pt>
                    </c:strCache>
                  </c:strRef>
                </c:tx>
                <c:spPr>
                  <a:ln w="22225" cap="rnd">
                    <a:solidFill>
                      <a:schemeClr val="accent1"/>
                    </a:solidFill>
                  </a:ln>
                  <a:effectLst>
                    <a:glow rad="139700">
                      <a:schemeClr val="accent1">
                        <a:satMod val="175000"/>
                        <a:alpha val="14000"/>
                      </a:schemeClr>
                    </a:glow>
                  </a:effectLst>
                </c:spPr>
                <c:marker>
                  <c:symbol val="circle"/>
                  <c:size val="4"/>
                  <c:spPr>
                    <a:solidFill>
                      <a:schemeClr val="accent1">
                        <a:lumMod val="60000"/>
                        <a:lumOff val="40000"/>
                      </a:schemeClr>
                    </a:solidFill>
                    <a:ln>
                      <a:noFill/>
                    </a:ln>
                    <a:effectLst>
                      <a:glow rad="63500">
                        <a:schemeClr val="accent1">
                          <a:satMod val="175000"/>
                          <a:alpha val="25000"/>
                        </a:schemeClr>
                      </a:glow>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lumMod val="75000"/>
                            </a:schemeClr>
                          </a:solidFill>
                          <a:latin typeface="+mn-lt"/>
                          <a:ea typeface="+mn-ea"/>
                          <a:cs typeface="+mn-cs"/>
                        </a:defRPr>
                      </a:pPr>
                      <a:endParaRPr lang="en-US"/>
                    </a:p>
                  </c:txPr>
                  <c:dLblPos val="ct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a:solidFill>
                              <a:schemeClr val="lt1">
                                <a:lumMod val="50000"/>
                              </a:schemeClr>
                            </a:solidFill>
                            <a:round/>
                          </a:ln>
                          <a:effectLst/>
                        </c:spPr>
                      </c15:leaderLines>
                    </c:ext>
                  </c:extLst>
                </c:dLbls>
                <c:val>
                  <c:numRef>
                    <c:extLst xmlns:c15="http://schemas.microsoft.com/office/drawing/2012/chart">
                      <c:ext xmlns:c15="http://schemas.microsoft.com/office/drawing/2012/chart" uri="{02D57815-91ED-43cb-92C2-25804820EDAC}">
                        <c15:formulaRef>
                          <c15:sqref>'Owner Occupier'!$N$7:$N$36</c15:sqref>
                        </c15:formulaRef>
                      </c:ext>
                    </c:extLst>
                    <c:numCache>
                      <c:formatCode>_("$"* #,##0_);_("$"* \(#,##0\);_("$"* "-"??_);_(@_)</c:formatCode>
                      <c:ptCount val="30"/>
                      <c:pt idx="0">
                        <c:v>-10717.571029419661</c:v>
                      </c:pt>
                      <c:pt idx="1">
                        <c:v>14917.352488637029</c:v>
                      </c:pt>
                      <c:pt idx="2">
                        <c:v>41521.106805605159</c:v>
                      </c:pt>
                      <c:pt idx="3">
                        <c:v>69130.704347255174</c:v>
                      </c:pt>
                      <c:pt idx="4">
                        <c:v>97784.587466266836</c:v>
                      </c:pt>
                      <c:pt idx="5">
                        <c:v>127522.68431824649</c:v>
                      </c:pt>
                      <c:pt idx="6">
                        <c:v>158386.46694600428</c:v>
                      </c:pt>
                      <c:pt idx="7">
                        <c:v>190419.01166032313</c:v>
                      </c:pt>
                      <c:pt idx="8">
                        <c:v>223665.0618090218</c:v>
                      </c:pt>
                      <c:pt idx="9">
                        <c:v>258171.09302981658</c:v>
                      </c:pt>
                      <c:pt idx="10">
                        <c:v>293985.38108634687</c:v>
                      </c:pt>
                      <c:pt idx="11">
                        <c:v>331158.07239075011</c:v>
                      </c:pt>
                      <c:pt idx="12">
                        <c:v>369741.25732034526</c:v>
                      </c:pt>
                      <c:pt idx="13">
                        <c:v>409789.04644034221</c:v>
                      </c:pt>
                      <c:pt idx="14">
                        <c:v>451357.64974901563</c:v>
                      </c:pt>
                      <c:pt idx="15">
                        <c:v>494505.45906650845</c:v>
                      </c:pt>
                      <c:pt idx="16">
                        <c:v>539293.13369331858</c:v>
                      </c:pt>
                      <c:pt idx="17">
                        <c:v>585783.68946964771</c:v>
                      </c:pt>
                      <c:pt idx="18">
                        <c:v>634042.59137209633</c:v>
                      </c:pt>
                      <c:pt idx="19">
                        <c:v>684137.84978972329</c:v>
                      </c:pt>
                      <c:pt idx="20">
                        <c:v>736140.12062725576</c:v>
                      </c:pt>
                      <c:pt idx="21">
                        <c:v>790122.80938922206</c:v>
                      </c:pt>
                      <c:pt idx="22">
                        <c:v>846162.17940502509</c:v>
                      </c:pt>
                      <c:pt idx="23">
                        <c:v>904337.46436147531</c:v>
                      </c:pt>
                      <c:pt idx="24">
                        <c:v>964730.98531605757</c:v>
                      </c:pt>
                      <c:pt idx="25">
                        <c:v>1027428.2723712533</c:v>
                      </c:pt>
                      <c:pt idx="26">
                        <c:v>1092518.1911975632</c:v>
                      </c:pt>
                      <c:pt idx="27">
                        <c:v>1160093.0746005138</c:v>
                      </c:pt>
                      <c:pt idx="28">
                        <c:v>1230248.8593348647</c:v>
                      </c:pt>
                      <c:pt idx="29">
                        <c:v>1303085.2283775082</c:v>
                      </c:pt>
                    </c:numCache>
                  </c:numRef>
                </c:val>
                <c:smooth val="0"/>
                <c:extLst xmlns:c15="http://schemas.microsoft.com/office/drawing/2012/chart">
                  <c:ext xmlns:c16="http://schemas.microsoft.com/office/drawing/2014/chart" uri="{C3380CC4-5D6E-409C-BE32-E72D297353CC}">
                    <c16:uniqueId val="{00000002-3472-40B5-AC9C-E6F06108AAA9}"/>
                  </c:ext>
                </c:extLst>
              </c15:ser>
            </c15:filteredLineSeries>
          </c:ext>
        </c:extLst>
      </c:lineChart>
      <c:catAx>
        <c:axId val="933060368"/>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a:outerShdw blurRad="50800" dir="5400000" algn="ctr" rotWithShape="0">
                <a:srgbClr val="000000">
                  <a:alpha val="43137"/>
                </a:srgbClr>
              </a:outerShdw>
            </a:effectLst>
          </c:spPr>
        </c:majorGridlines>
        <c:majorTickMark val="in"/>
        <c:minorTickMark val="none"/>
        <c:tickLblPos val="low"/>
        <c:spPr>
          <a:noFill/>
          <a:ln>
            <a:noFill/>
          </a:ln>
          <a:effectLst/>
        </c:spPr>
        <c:txPr>
          <a:bodyPr rot="0" spcFirstLastPara="1" vertOverflow="ellipsis" wrap="square" anchor="b" anchorCtr="0"/>
          <a:lstStyle/>
          <a:p>
            <a:pPr>
              <a:defRPr sz="900" b="0" i="0" u="none" strike="noStrike" kern="1200" baseline="0">
                <a:solidFill>
                  <a:schemeClr val="bg1"/>
                </a:solidFill>
                <a:latin typeface="Cambria" panose="02040503050406030204" pitchFamily="18" charset="0"/>
                <a:ea typeface="Cambria" panose="02040503050406030204" pitchFamily="18" charset="0"/>
                <a:cs typeface="+mn-cs"/>
              </a:defRPr>
            </a:pPr>
            <a:endParaRPr lang="en-US"/>
          </a:p>
        </c:txPr>
        <c:crossAx val="933061808"/>
        <c:crosses val="autoZero"/>
        <c:auto val="1"/>
        <c:lblAlgn val="ctr"/>
        <c:lblOffset val="100"/>
        <c:tickMarkSkip val="1"/>
        <c:noMultiLvlLbl val="0"/>
      </c:catAx>
      <c:valAx>
        <c:axId val="933061808"/>
        <c:scaling>
          <c:orientation val="minMax"/>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Cambria" panose="02040503050406030204" pitchFamily="18" charset="0"/>
                <a:ea typeface="Cambria" panose="02040503050406030204" pitchFamily="18" charset="0"/>
                <a:cs typeface="+mn-cs"/>
              </a:defRPr>
            </a:pPr>
            <a:endParaRPr lang="en-US"/>
          </a:p>
        </c:txPr>
        <c:crossAx val="933060368"/>
        <c:crosses val="autoZero"/>
        <c:crossBetween val="midCat"/>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solidFill>
      <a:schemeClr val="accent1">
        <a:lumMod val="50000"/>
      </a:schemeClr>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jpg"/></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76758</xdr:colOff>
      <xdr:row>37</xdr:row>
      <xdr:rowOff>174625</xdr:rowOff>
    </xdr:from>
    <xdr:to>
      <xdr:col>5</xdr:col>
      <xdr:colOff>833438</xdr:colOff>
      <xdr:row>42</xdr:row>
      <xdr:rowOff>133350</xdr:rowOff>
    </xdr:to>
    <xdr:sp macro="" textlink="">
      <xdr:nvSpPr>
        <xdr:cNvPr id="7" name="TextBox 3">
          <a:extLst>
            <a:ext uri="{FF2B5EF4-FFF2-40B4-BE49-F238E27FC236}">
              <a16:creationId xmlns:a16="http://schemas.microsoft.com/office/drawing/2014/main" id="{7039BF56-D730-64D7-B859-B0E1DD282887}"/>
            </a:ext>
          </a:extLst>
        </xdr:cNvPr>
        <xdr:cNvSpPr txBox="1"/>
      </xdr:nvSpPr>
      <xdr:spPr>
        <a:xfrm>
          <a:off x="76758" y="7215188"/>
          <a:ext cx="5344555" cy="911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1" i="1" u="none" strike="noStrike">
              <a:solidFill>
                <a:schemeClr val="dk1"/>
              </a:solidFill>
              <a:effectLst/>
              <a:latin typeface="+mn-lt"/>
              <a:ea typeface="+mn-ea"/>
              <a:cs typeface="+mn-cs"/>
            </a:rPr>
            <a:t>DISCLAIMER - </a:t>
          </a:r>
          <a:r>
            <a:rPr lang="en-US" sz="900" b="0" i="1" u="none" strike="noStrike">
              <a:solidFill>
                <a:schemeClr val="dk1"/>
              </a:solidFill>
              <a:effectLst/>
              <a:latin typeface="+mn-lt"/>
              <a:ea typeface="+mn-ea"/>
              <a:cs typeface="+mn-cs"/>
            </a:rPr>
            <a:t>Returns are based on assumptions. Actual returns will vary. Rosehaven Homes, LLC and Rosemont Hill, LLC  (the "Parties")</a:t>
          </a:r>
          <a:r>
            <a:rPr lang="en-US" sz="900" b="0" i="1" u="none" strike="noStrike" baseline="0">
              <a:solidFill>
                <a:schemeClr val="dk1"/>
              </a:solidFill>
              <a:effectLst/>
              <a:latin typeface="+mn-lt"/>
              <a:ea typeface="+mn-ea"/>
              <a:cs typeface="+mn-cs"/>
            </a:rPr>
            <a:t> </a:t>
          </a:r>
          <a:r>
            <a:rPr lang="en-US" sz="900" b="0" i="1" u="none" strike="noStrike">
              <a:solidFill>
                <a:schemeClr val="dk1"/>
              </a:solidFill>
              <a:effectLst/>
              <a:latin typeface="+mn-lt"/>
              <a:ea typeface="+mn-ea"/>
              <a:cs typeface="+mn-cs"/>
            </a:rPr>
            <a:t>hereby disclaims all warranties, express or implied, and makes no warranties or representations of any kind regarding the information provided or the estimates in this document. Further, we encourage all investors to seek professional advice before making real estate investment decisions. The Parities hereby disclaim any liability for the accuracy, completeness, or correctness of any information or assumptions provided. </a:t>
          </a:r>
          <a:r>
            <a:rPr lang="en-US" sz="900"/>
            <a:t> </a:t>
          </a:r>
        </a:p>
      </xdr:txBody>
    </xdr:sp>
    <xdr:clientData/>
  </xdr:twoCellAnchor>
  <xdr:twoCellAnchor editAs="oneCell">
    <xdr:from>
      <xdr:col>1</xdr:col>
      <xdr:colOff>1800225</xdr:colOff>
      <xdr:row>0</xdr:row>
      <xdr:rowOff>76200</xdr:rowOff>
    </xdr:from>
    <xdr:to>
      <xdr:col>3</xdr:col>
      <xdr:colOff>571500</xdr:colOff>
      <xdr:row>3</xdr:row>
      <xdr:rowOff>142958</xdr:rowOff>
    </xdr:to>
    <xdr:pic>
      <xdr:nvPicPr>
        <xdr:cNvPr id="13" name="Picture 12">
          <a:extLst>
            <a:ext uri="{FF2B5EF4-FFF2-40B4-BE49-F238E27FC236}">
              <a16:creationId xmlns:a16="http://schemas.microsoft.com/office/drawing/2014/main" id="{E5F5B517-63C9-0186-EEBF-61F9B97EAD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85950" y="76200"/>
          <a:ext cx="2000250" cy="6334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626722</xdr:colOff>
      <xdr:row>3</xdr:row>
      <xdr:rowOff>8062</xdr:rowOff>
    </xdr:to>
    <xdr:pic>
      <xdr:nvPicPr>
        <xdr:cNvPr id="2" name="Picture 1">
          <a:extLst>
            <a:ext uri="{FF2B5EF4-FFF2-40B4-BE49-F238E27FC236}">
              <a16:creationId xmlns:a16="http://schemas.microsoft.com/office/drawing/2014/main" id="{503E81F2-F9C4-4D05-AD71-84085203C2A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6686" y="36741"/>
          <a:ext cx="1774900" cy="634150"/>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3" name="Chart 2">
          <a:extLst>
            <a:ext uri="{FF2B5EF4-FFF2-40B4-BE49-F238E27FC236}">
              <a16:creationId xmlns:a16="http://schemas.microsoft.com/office/drawing/2014/main" id="{BC16C3B8-6024-4C65-83F2-833C41994B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645772</xdr:colOff>
      <xdr:row>3</xdr:row>
      <xdr:rowOff>8062</xdr:rowOff>
    </xdr:to>
    <xdr:pic>
      <xdr:nvPicPr>
        <xdr:cNvPr id="4" name="Picture 3">
          <a:extLst>
            <a:ext uri="{FF2B5EF4-FFF2-40B4-BE49-F238E27FC236}">
              <a16:creationId xmlns:a16="http://schemas.microsoft.com/office/drawing/2014/main" id="{6245581B-09C2-7A28-736B-AE93518CAF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06468" y="36741"/>
          <a:ext cx="1868907" cy="617585"/>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2" name="Chart 1">
          <a:extLst>
            <a:ext uri="{FF2B5EF4-FFF2-40B4-BE49-F238E27FC236}">
              <a16:creationId xmlns:a16="http://schemas.microsoft.com/office/drawing/2014/main" id="{E27D4E81-4D61-4243-A311-D0EB4E10A7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66261</xdr:colOff>
      <xdr:row>0</xdr:row>
      <xdr:rowOff>36741</xdr:rowOff>
    </xdr:from>
    <xdr:to>
      <xdr:col>6</xdr:col>
      <xdr:colOff>626723</xdr:colOff>
      <xdr:row>3</xdr:row>
      <xdr:rowOff>8062</xdr:rowOff>
    </xdr:to>
    <xdr:pic>
      <xdr:nvPicPr>
        <xdr:cNvPr id="2" name="Picture 1">
          <a:extLst>
            <a:ext uri="{FF2B5EF4-FFF2-40B4-BE49-F238E27FC236}">
              <a16:creationId xmlns:a16="http://schemas.microsoft.com/office/drawing/2014/main" id="{FCECE085-9FF9-4953-9F59-1A10FFCFE9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6686" y="36741"/>
          <a:ext cx="1774900" cy="634150"/>
        </a:xfrm>
        <a:prstGeom prst="rect">
          <a:avLst/>
        </a:prstGeom>
      </xdr:spPr>
    </xdr:pic>
    <xdr:clientData/>
  </xdr:twoCellAnchor>
  <xdr:twoCellAnchor>
    <xdr:from>
      <xdr:col>1</xdr:col>
      <xdr:colOff>438982</xdr:colOff>
      <xdr:row>4</xdr:row>
      <xdr:rowOff>103533</xdr:rowOff>
    </xdr:from>
    <xdr:to>
      <xdr:col>8</xdr:col>
      <xdr:colOff>438982</xdr:colOff>
      <xdr:row>20</xdr:row>
      <xdr:rowOff>103532</xdr:rowOff>
    </xdr:to>
    <xdr:graphicFrame macro="">
      <xdr:nvGraphicFramePr>
        <xdr:cNvPr id="3" name="Chart 2">
          <a:extLst>
            <a:ext uri="{FF2B5EF4-FFF2-40B4-BE49-F238E27FC236}">
              <a16:creationId xmlns:a16="http://schemas.microsoft.com/office/drawing/2014/main" id="{23D44A74-3BA2-49A3-95D5-EC29C70429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116C9-0766-4342-B34D-6EAF51367B17}">
  <dimension ref="A5:F44"/>
  <sheetViews>
    <sheetView tabSelected="1" zoomScale="144" zoomScaleNormal="120" workbookViewId="0">
      <selection activeCell="H3" sqref="H3"/>
    </sheetView>
  </sheetViews>
  <sheetFormatPr defaultRowHeight="15" x14ac:dyDescent="0.25"/>
  <cols>
    <col min="1" max="1" width="1.28515625" style="10" customWidth="1"/>
    <col min="2" max="2" width="29.42578125" style="102" customWidth="1"/>
    <col min="3" max="4" width="19" style="102" customWidth="1"/>
    <col min="5" max="5" width="19" style="102" hidden="1" customWidth="1"/>
    <col min="6" max="6" width="13.85546875" customWidth="1"/>
    <col min="9" max="9" width="10.28515625" customWidth="1"/>
  </cols>
  <sheetData>
    <row r="5" spans="2:6" x14ac:dyDescent="0.25">
      <c r="B5" s="18" t="s">
        <v>138</v>
      </c>
      <c r="C5" s="91"/>
      <c r="D5" s="91"/>
      <c r="E5" s="91"/>
    </row>
    <row r="6" spans="2:6" x14ac:dyDescent="0.25">
      <c r="B6" s="90" t="s">
        <v>95</v>
      </c>
      <c r="C6" s="91"/>
      <c r="D6" s="91"/>
      <c r="E6" s="91"/>
    </row>
    <row r="7" spans="2:6" x14ac:dyDescent="0.25">
      <c r="B7" s="78" t="s">
        <v>97</v>
      </c>
      <c r="C7" s="78" t="s">
        <v>92</v>
      </c>
      <c r="D7" s="78" t="s">
        <v>98</v>
      </c>
      <c r="E7" s="78" t="s">
        <v>94</v>
      </c>
      <c r="F7" s="78"/>
    </row>
    <row r="8" spans="2:6" x14ac:dyDescent="0.25">
      <c r="B8" s="91" t="s">
        <v>139</v>
      </c>
      <c r="C8" s="92">
        <f>D8-35500</f>
        <v>345500</v>
      </c>
      <c r="D8" s="92">
        <v>381000</v>
      </c>
      <c r="E8" s="92">
        <v>505990</v>
      </c>
      <c r="F8" s="91"/>
    </row>
    <row r="9" spans="2:6" x14ac:dyDescent="0.25">
      <c r="B9" s="93" t="s">
        <v>96</v>
      </c>
      <c r="C9" s="94">
        <v>0</v>
      </c>
      <c r="D9" s="104">
        <v>0.35</v>
      </c>
      <c r="E9" s="94">
        <v>3.5000000000000003E-2</v>
      </c>
      <c r="F9" s="93"/>
    </row>
    <row r="10" spans="2:6" x14ac:dyDescent="0.25">
      <c r="B10" s="93" t="s">
        <v>99</v>
      </c>
      <c r="C10" s="94"/>
      <c r="D10" s="94">
        <v>3.2500000000000001E-2</v>
      </c>
      <c r="E10" s="94">
        <v>4.2500000000000003E-2</v>
      </c>
      <c r="F10" s="93"/>
    </row>
    <row r="11" spans="2:6" x14ac:dyDescent="0.25">
      <c r="B11" s="93" t="s">
        <v>90</v>
      </c>
      <c r="C11" s="92">
        <v>2300</v>
      </c>
      <c r="D11" s="92">
        <v>2300</v>
      </c>
      <c r="E11" s="92">
        <v>1825</v>
      </c>
      <c r="F11" s="93"/>
    </row>
    <row r="12" spans="2:6" x14ac:dyDescent="0.25">
      <c r="B12" s="93" t="s">
        <v>26</v>
      </c>
      <c r="C12" s="95">
        <v>3.7499999999999999E-2</v>
      </c>
      <c r="D12" s="95">
        <v>3.7499999999999999E-2</v>
      </c>
      <c r="E12" s="95">
        <v>3.5000000000000003E-2</v>
      </c>
      <c r="F12" s="93"/>
    </row>
    <row r="13" spans="2:6" x14ac:dyDescent="0.25">
      <c r="B13" s="96" t="s">
        <v>103</v>
      </c>
      <c r="C13" s="97">
        <v>15</v>
      </c>
      <c r="D13" s="97">
        <v>15</v>
      </c>
      <c r="E13" s="97">
        <v>15</v>
      </c>
      <c r="F13" s="96"/>
    </row>
    <row r="14" spans="2:6" ht="14.25" customHeight="1" x14ac:dyDescent="0.25">
      <c r="B14" s="107" t="s">
        <v>111</v>
      </c>
      <c r="C14" s="107"/>
      <c r="D14" s="107"/>
      <c r="E14" s="107"/>
      <c r="F14" s="106"/>
    </row>
    <row r="15" spans="2:6" x14ac:dyDescent="0.25">
      <c r="B15" s="91"/>
      <c r="C15" s="91"/>
      <c r="D15" s="91"/>
      <c r="E15" s="91"/>
      <c r="F15" s="91"/>
    </row>
    <row r="16" spans="2:6" x14ac:dyDescent="0.25">
      <c r="B16" s="90" t="s">
        <v>0</v>
      </c>
      <c r="C16" s="91"/>
      <c r="D16" s="91"/>
      <c r="E16" s="91"/>
      <c r="F16" s="90"/>
    </row>
    <row r="17" spans="2:6" x14ac:dyDescent="0.25">
      <c r="B17" s="78" t="s">
        <v>97</v>
      </c>
      <c r="C17" s="78" t="s">
        <v>92</v>
      </c>
      <c r="D17" s="78" t="s">
        <v>93</v>
      </c>
      <c r="E17" s="78" t="s">
        <v>94</v>
      </c>
      <c r="F17" s="78"/>
    </row>
    <row r="18" spans="2:6" x14ac:dyDescent="0.25">
      <c r="B18" s="91" t="s">
        <v>89</v>
      </c>
      <c r="C18" s="92">
        <f>'All Cash'!$D$25</f>
        <v>27600</v>
      </c>
      <c r="D18" s="92">
        <f>'With Loan'!I25</f>
        <v>27600</v>
      </c>
      <c r="E18" s="92">
        <f>'Owner Occupier'!D25</f>
        <v>21900</v>
      </c>
      <c r="F18" s="91"/>
    </row>
    <row r="19" spans="2:6" x14ac:dyDescent="0.25">
      <c r="B19" s="98" t="s">
        <v>91</v>
      </c>
      <c r="C19" s="99">
        <f>'All Cash'!$D$26</f>
        <v>350500.00000000006</v>
      </c>
      <c r="D19" s="99">
        <f>'With Loan'!D38</f>
        <v>144804.32345245889</v>
      </c>
      <c r="E19" s="99">
        <f>'Owner Occupier'!D38</f>
        <v>29163.973452458908</v>
      </c>
      <c r="F19" s="98"/>
    </row>
    <row r="20" spans="2:6" x14ac:dyDescent="0.25">
      <c r="B20" s="91" t="s">
        <v>28</v>
      </c>
      <c r="C20" s="92">
        <f>'All Cash'!$H$37</f>
        <v>227377.75380500001</v>
      </c>
      <c r="D20" s="92">
        <f>'With Loan'!$H$38</f>
        <v>65870.996657104901</v>
      </c>
      <c r="E20" s="92"/>
      <c r="F20" s="91"/>
    </row>
    <row r="21" spans="2:6" x14ac:dyDescent="0.25">
      <c r="B21" s="91" t="s">
        <v>136</v>
      </c>
      <c r="C21" s="92"/>
      <c r="D21" s="92">
        <f>'With Loan'!$H$35</f>
        <v>94265.005980771413</v>
      </c>
      <c r="E21" s="92">
        <f>'Owner Occupier'!$H$34</f>
        <v>80398.820034197721</v>
      </c>
      <c r="F21" s="91"/>
    </row>
    <row r="22" spans="2:6" x14ac:dyDescent="0.25">
      <c r="B22" s="91" t="s">
        <v>135</v>
      </c>
      <c r="C22" s="92">
        <f>'All Cash'!$H$33</f>
        <v>254663.57319216745</v>
      </c>
      <c r="D22" s="92">
        <f>'With Loan'!$H$33</f>
        <v>280830.16320178239</v>
      </c>
      <c r="E22" s="92">
        <f>'Owner Occupier'!$H$32</f>
        <v>341719.75487228506</v>
      </c>
      <c r="F22" s="91"/>
    </row>
    <row r="23" spans="2:6" x14ac:dyDescent="0.25">
      <c r="B23" s="98" t="s">
        <v>105</v>
      </c>
      <c r="C23" s="99">
        <f>'All Cash'!$D$29</f>
        <v>440029.87687371572</v>
      </c>
      <c r="D23" s="99">
        <f>'With Loan'!H39</f>
        <v>394638.0544155339</v>
      </c>
      <c r="E23" s="99">
        <f>'Owner Occupier'!D31</f>
        <v>362778.89206542278</v>
      </c>
      <c r="F23" s="98"/>
    </row>
    <row r="24" spans="2:6" x14ac:dyDescent="0.25">
      <c r="B24" s="90" t="s">
        <v>134</v>
      </c>
      <c r="C24" s="104">
        <f>'All Cash'!$D$30</f>
        <v>8.3695649429142302E-2</v>
      </c>
      <c r="D24" s="104">
        <f>'With Loan'!H43</f>
        <v>0.18168797036187881</v>
      </c>
      <c r="E24" s="104">
        <f>'Owner Occupier'!H38</f>
        <v>0.82928547135229436</v>
      </c>
      <c r="F24" s="90"/>
    </row>
    <row r="25" spans="2:6" x14ac:dyDescent="0.25">
      <c r="B25" s="91" t="s">
        <v>100</v>
      </c>
      <c r="C25" s="104">
        <f>'All Cash'!$D$32</f>
        <v>4.3874144487216597E-2</v>
      </c>
      <c r="D25" s="104"/>
      <c r="E25" s="104"/>
      <c r="F25" s="91"/>
    </row>
    <row r="26" spans="2:6" x14ac:dyDescent="0.25">
      <c r="B26" s="91" t="s">
        <v>101</v>
      </c>
      <c r="C26" s="94"/>
      <c r="D26" s="104">
        <f>'With Loan'!H41</f>
        <v>3.0326441037391256E-2</v>
      </c>
      <c r="E26" s="94"/>
      <c r="F26" s="91"/>
    </row>
    <row r="27" spans="2:6" x14ac:dyDescent="0.25">
      <c r="B27" s="91" t="s">
        <v>102</v>
      </c>
      <c r="C27" s="94"/>
      <c r="D27" s="104">
        <f>D26+D12</f>
        <v>6.7826441037391258E-2</v>
      </c>
      <c r="E27" s="94"/>
      <c r="F27" s="91"/>
    </row>
    <row r="28" spans="2:6" x14ac:dyDescent="0.25">
      <c r="B28" s="91" t="s">
        <v>104</v>
      </c>
      <c r="C28" s="92"/>
      <c r="D28" s="92"/>
      <c r="E28" s="105">
        <f>-1*'Owner Occupier'!H26</f>
        <v>1893.6576427419659</v>
      </c>
      <c r="F28" s="91"/>
    </row>
    <row r="29" spans="2:6" x14ac:dyDescent="0.25">
      <c r="B29" s="98" t="s">
        <v>121</v>
      </c>
      <c r="C29" s="101">
        <f>'All Cash'!H43</f>
        <v>7.0644798313655777E-2</v>
      </c>
      <c r="D29" s="101">
        <f>'With Loan'!H44</f>
        <v>9.9544858898428679E-2</v>
      </c>
      <c r="E29" s="101"/>
      <c r="F29" s="98"/>
    </row>
    <row r="30" spans="2:6" x14ac:dyDescent="0.25">
      <c r="B30" s="91"/>
      <c r="C30" s="92"/>
      <c r="D30" s="92"/>
      <c r="E30" s="92"/>
      <c r="F30" s="91"/>
    </row>
    <row r="31" spans="2:6" x14ac:dyDescent="0.25">
      <c r="B31" s="90" t="s">
        <v>110</v>
      </c>
      <c r="C31" s="91"/>
      <c r="D31" s="91"/>
      <c r="E31" s="91"/>
      <c r="F31" s="90"/>
    </row>
    <row r="32" spans="2:6" x14ac:dyDescent="0.25">
      <c r="B32" s="78" t="s">
        <v>97</v>
      </c>
      <c r="C32" s="78" t="s">
        <v>141</v>
      </c>
      <c r="D32" s="78" t="s">
        <v>140</v>
      </c>
      <c r="E32" s="78" t="s">
        <v>106</v>
      </c>
      <c r="F32" s="78"/>
    </row>
    <row r="33" spans="2:6" x14ac:dyDescent="0.25">
      <c r="B33" s="91" t="s">
        <v>84</v>
      </c>
      <c r="C33" s="92">
        <f>C8</f>
        <v>345500</v>
      </c>
      <c r="D33" s="92">
        <v>475000</v>
      </c>
      <c r="E33" s="92">
        <v>565000</v>
      </c>
      <c r="F33" s="91"/>
    </row>
    <row r="34" spans="2:6" x14ac:dyDescent="0.25">
      <c r="B34" s="91" t="s">
        <v>108</v>
      </c>
      <c r="C34" s="92">
        <f>C11</f>
        <v>2300</v>
      </c>
      <c r="D34" s="92">
        <v>1450</v>
      </c>
      <c r="E34" s="92">
        <v>1725</v>
      </c>
      <c r="F34" s="91"/>
    </row>
    <row r="35" spans="2:6" x14ac:dyDescent="0.25">
      <c r="B35" s="91" t="s">
        <v>107</v>
      </c>
      <c r="C35" s="92">
        <f>C34*1</f>
        <v>2300</v>
      </c>
      <c r="D35" s="92">
        <f>D34*2</f>
        <v>2900</v>
      </c>
      <c r="E35" s="92">
        <f>E34*2</f>
        <v>3450</v>
      </c>
      <c r="F35" s="91"/>
    </row>
    <row r="36" spans="2:6" x14ac:dyDescent="0.25">
      <c r="B36" s="100" t="s">
        <v>109</v>
      </c>
      <c r="C36" s="101">
        <f>C35/C33</f>
        <v>6.6570188133140374E-3</v>
      </c>
      <c r="D36" s="101">
        <f>D35/D33</f>
        <v>6.1052631578947369E-3</v>
      </c>
      <c r="E36" s="101">
        <f>E35/E33</f>
        <v>6.1061946902654868E-3</v>
      </c>
      <c r="F36" s="100"/>
    </row>
    <row r="37" spans="2:6" ht="15" customHeight="1" x14ac:dyDescent="0.25">
      <c r="B37" s="108" t="s">
        <v>137</v>
      </c>
      <c r="C37" s="108"/>
      <c r="D37" s="108"/>
      <c r="E37" s="108"/>
      <c r="F37" s="91"/>
    </row>
    <row r="38" spans="2:6" x14ac:dyDescent="0.25">
      <c r="B38" s="109"/>
      <c r="C38" s="109"/>
      <c r="D38" s="109"/>
      <c r="E38" s="109"/>
      <c r="F38" s="91"/>
    </row>
    <row r="39" spans="2:6" x14ac:dyDescent="0.25">
      <c r="F39" s="91"/>
    </row>
    <row r="40" spans="2:6" x14ac:dyDescent="0.25">
      <c r="F40" s="91"/>
    </row>
    <row r="41" spans="2:6" x14ac:dyDescent="0.25">
      <c r="F41" s="91"/>
    </row>
    <row r="42" spans="2:6" x14ac:dyDescent="0.25">
      <c r="F42" s="91"/>
    </row>
    <row r="43" spans="2:6" x14ac:dyDescent="0.25">
      <c r="E43" s="103"/>
      <c r="F43" s="91"/>
    </row>
    <row r="44" spans="2:6" x14ac:dyDescent="0.25">
      <c r="B44" s="110" t="s">
        <v>71</v>
      </c>
      <c r="C44" s="110"/>
      <c r="D44" s="110"/>
      <c r="E44" s="110"/>
      <c r="F44" s="78"/>
    </row>
  </sheetData>
  <mergeCells count="3">
    <mergeCell ref="B14:E14"/>
    <mergeCell ref="B37:E38"/>
    <mergeCell ref="B44:E44"/>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9BC52-B97A-49E2-8435-53CAD6E7E736}">
  <sheetPr>
    <pageSetUpPr fitToPage="1"/>
  </sheetPr>
  <dimension ref="A1:AA70"/>
  <sheetViews>
    <sheetView zoomScale="85" zoomScaleNormal="85" workbookViewId="0"/>
  </sheetViews>
  <sheetFormatPr defaultRowHeight="15" outlineLevelCol="1" x14ac:dyDescent="0.25"/>
  <cols>
    <col min="1" max="1" width="2.85546875" customWidth="1"/>
    <col min="2" max="2" width="43.85546875" customWidth="1"/>
    <col min="3" max="3" width="9" customWidth="1"/>
    <col min="4" max="4" width="12.7109375" style="8" customWidth="1"/>
    <col min="5" max="5" width="13.140625" style="9" customWidth="1"/>
    <col min="6" max="6" width="5.28515625" customWidth="1"/>
    <col min="7" max="7" width="47.5703125" bestFit="1" customWidth="1"/>
    <col min="8" max="8" width="14.140625" bestFit="1" customWidth="1"/>
    <col min="9" max="9" width="13.140625" customWidth="1"/>
    <col min="10" max="10" width="13.42578125" bestFit="1" customWidth="1"/>
    <col min="12" max="12" width="9" style="30" customWidth="1"/>
    <col min="13" max="13" width="9.28515625" style="30" hidden="1" customWidth="1" outlineLevel="1"/>
    <col min="14" max="14" width="20.28515625" style="30" hidden="1" customWidth="1" outlineLevel="1"/>
    <col min="15" max="15" width="20.85546875" style="30" hidden="1" customWidth="1" outlineLevel="1"/>
    <col min="16" max="16" width="26.28515625" style="30" hidden="1" customWidth="1" outlineLevel="1"/>
    <col min="17" max="17" width="19.28515625" style="30" hidden="1" customWidth="1" outlineLevel="1"/>
    <col min="18" max="18" width="9.5703125" style="30" hidden="1" customWidth="1" outlineLevel="1"/>
    <col min="19" max="19" width="12.7109375" style="30" hidden="1" customWidth="1" outlineLevel="1"/>
    <col min="20" max="20" width="12.5703125" style="30" hidden="1" customWidth="1" outlineLevel="1"/>
    <col min="21" max="21" width="17.5703125" style="30" hidden="1" customWidth="1" outlineLevel="1"/>
    <col min="22" max="22" width="16.42578125" style="30" hidden="1" customWidth="1" outlineLevel="1"/>
    <col min="23" max="23" width="24.140625" style="30" hidden="1" customWidth="1" outlineLevel="1"/>
    <col min="24" max="24" width="13.5703125" style="30" hidden="1" customWidth="1" outlineLevel="1"/>
    <col min="25" max="25" width="12.42578125" style="30" hidden="1" customWidth="1" outlineLevel="1"/>
    <col min="26" max="26" width="20.5703125" hidden="1" customWidth="1" outlineLevel="1"/>
    <col min="27" max="27" width="9.140625" collapsed="1"/>
  </cols>
  <sheetData>
    <row r="1" spans="1:26" x14ac:dyDescent="0.25">
      <c r="A1" s="10"/>
      <c r="B1" s="113"/>
      <c r="C1" s="113"/>
      <c r="D1" s="113"/>
      <c r="E1" s="113"/>
      <c r="F1" s="113"/>
      <c r="G1" s="113"/>
      <c r="H1" s="113"/>
      <c r="I1" s="113"/>
    </row>
    <row r="2" spans="1:26" x14ac:dyDescent="0.25">
      <c r="A2" s="10"/>
      <c r="B2" s="113"/>
      <c r="C2" s="113"/>
      <c r="D2" s="113"/>
      <c r="E2" s="113"/>
      <c r="F2" s="113"/>
      <c r="G2" s="113"/>
      <c r="H2" s="113"/>
      <c r="I2" s="113"/>
    </row>
    <row r="3" spans="1:26" ht="23.25" customHeight="1" x14ac:dyDescent="0.25">
      <c r="A3" s="10"/>
      <c r="B3" s="113"/>
      <c r="C3" s="113"/>
      <c r="D3" s="113"/>
      <c r="E3" s="113"/>
      <c r="F3" s="113"/>
      <c r="G3" s="113"/>
      <c r="H3" s="113"/>
      <c r="I3" s="113"/>
    </row>
    <row r="4" spans="1:26" ht="22.5" x14ac:dyDescent="0.3">
      <c r="A4" s="10"/>
      <c r="B4" s="114" t="s">
        <v>143</v>
      </c>
      <c r="C4" s="114"/>
      <c r="D4" s="114"/>
      <c r="E4" s="114"/>
      <c r="F4" s="114"/>
      <c r="G4" s="114"/>
      <c r="H4" s="114"/>
      <c r="I4" s="114"/>
    </row>
    <row r="5" spans="1:26"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28</v>
      </c>
      <c r="X5" s="33" t="s">
        <v>23</v>
      </c>
      <c r="Y5" s="33" t="s">
        <v>119</v>
      </c>
      <c r="Z5" s="33" t="s">
        <v>120</v>
      </c>
    </row>
    <row r="6" spans="1:26" ht="14.25" customHeight="1" x14ac:dyDescent="0.25">
      <c r="A6" s="10"/>
      <c r="B6" s="43"/>
      <c r="C6" s="43"/>
      <c r="D6" s="44"/>
      <c r="E6" s="45"/>
      <c r="F6" s="43"/>
      <c r="G6" s="43"/>
      <c r="H6" s="43"/>
      <c r="I6" s="43"/>
      <c r="M6" s="30">
        <v>0</v>
      </c>
      <c r="X6" s="34">
        <f>-$D$38</f>
        <v>-350500.00000000006</v>
      </c>
      <c r="Z6" s="70">
        <f t="shared" ref="Z6:Z36" si="0">IF($H$32&gt;=M6,SUM(X6:Y6),0)</f>
        <v>-350500.00000000006</v>
      </c>
    </row>
    <row r="7" spans="1:26" ht="14.25" customHeight="1" x14ac:dyDescent="0.25">
      <c r="A7" s="10"/>
      <c r="B7" s="43"/>
      <c r="C7" s="43"/>
      <c r="D7" s="44"/>
      <c r="E7" s="45"/>
      <c r="F7" s="43"/>
      <c r="G7" s="43"/>
      <c r="H7" s="43"/>
      <c r="I7" s="43"/>
      <c r="M7" s="30">
        <v>1</v>
      </c>
      <c r="N7" s="34">
        <f t="shared" ref="N7:N36" si="1">W7+T7+U7-V7</f>
        <v>3022.8294203333862</v>
      </c>
      <c r="O7" s="35">
        <f t="shared" ref="O7:O36" si="2">N7/P7/M7</f>
        <v>8.6243350080838395E-3</v>
      </c>
      <c r="P7" s="36">
        <f>'All Cash'!$D$38</f>
        <v>350500.00000000006</v>
      </c>
      <c r="Q7" s="37">
        <f>'All Cash'!$H$31</f>
        <v>3.7499999999999999E-2</v>
      </c>
      <c r="R7" s="38">
        <f>'All Cash'!$D$24</f>
        <v>345500</v>
      </c>
      <c r="S7" s="38">
        <v>0</v>
      </c>
      <c r="T7" s="39">
        <f t="shared" ref="T7:T36" si="3">$R$7*(1+Q7)^M7-$R$7</f>
        <v>12956.250000000058</v>
      </c>
      <c r="U7" s="39">
        <v>0</v>
      </c>
      <c r="V7" s="39">
        <f>(R7+T7)*'All Cash'!$H$35</f>
        <v>25091.937500000007</v>
      </c>
      <c r="W7" s="36">
        <f>'All Cash'!$I$27*'All Cash'!$M7</f>
        <v>15158.516920333333</v>
      </c>
      <c r="X7" s="34">
        <f t="shared" ref="X7:X36" si="4">$I$28</f>
        <v>16538.516920333335</v>
      </c>
      <c r="Y7" s="80">
        <f t="shared" ref="Y7:Y36" si="5">IF($H$32=$M7,R7+T7-V7,0)</f>
        <v>0</v>
      </c>
      <c r="Z7" s="70">
        <f t="shared" si="0"/>
        <v>16538.516920333335</v>
      </c>
    </row>
    <row r="8" spans="1:26" ht="14.25" customHeight="1" x14ac:dyDescent="0.25">
      <c r="A8" s="10"/>
      <c r="B8" s="43"/>
      <c r="C8" s="43"/>
      <c r="D8" s="44"/>
      <c r="E8" s="45"/>
      <c r="F8" s="43"/>
      <c r="G8" s="43"/>
      <c r="H8" s="43"/>
      <c r="I8" s="43"/>
      <c r="M8" s="30">
        <v>2</v>
      </c>
      <c r="N8" s="34">
        <f t="shared" si="1"/>
        <v>30682.508059416723</v>
      </c>
      <c r="O8" s="35">
        <f t="shared" si="2"/>
        <v>4.376962633297677E-2</v>
      </c>
      <c r="P8" s="36">
        <f>'All Cash'!$D$38</f>
        <v>350500.00000000006</v>
      </c>
      <c r="Q8" s="37">
        <f>'All Cash'!$H$31</f>
        <v>3.7499999999999999E-2</v>
      </c>
      <c r="R8" s="38">
        <f>'All Cash'!$D$24</f>
        <v>345500</v>
      </c>
      <c r="S8" s="38">
        <v>0</v>
      </c>
      <c r="T8" s="39">
        <f t="shared" si="3"/>
        <v>26398.359375000058</v>
      </c>
      <c r="U8" s="39">
        <v>0</v>
      </c>
      <c r="V8" s="39">
        <f>(R8+T8)*'All Cash'!$H$35</f>
        <v>26032.885156250006</v>
      </c>
      <c r="W8" s="36">
        <f>'All Cash'!$I$27*'All Cash'!$M8</f>
        <v>30317.033840666667</v>
      </c>
      <c r="X8" s="34">
        <f t="shared" si="4"/>
        <v>16538.516920333335</v>
      </c>
      <c r="Y8" s="80">
        <f t="shared" si="5"/>
        <v>0</v>
      </c>
      <c r="Z8" s="70">
        <f t="shared" si="0"/>
        <v>16538.516920333335</v>
      </c>
    </row>
    <row r="9" spans="1:26" ht="14.25" customHeight="1" x14ac:dyDescent="0.25">
      <c r="A9" s="10"/>
      <c r="B9" s="43"/>
      <c r="C9" s="43"/>
      <c r="D9" s="44"/>
      <c r="E9" s="45"/>
      <c r="F9" s="43"/>
      <c r="G9" s="43"/>
      <c r="H9" s="43"/>
      <c r="I9" s="43"/>
      <c r="M9" s="30">
        <v>3</v>
      </c>
      <c r="N9" s="34">
        <f t="shared" si="1"/>
        <v>58810.980262953221</v>
      </c>
      <c r="O9" s="35">
        <f t="shared" si="2"/>
        <v>5.5930556598148558E-2</v>
      </c>
      <c r="P9" s="36">
        <f>'All Cash'!$D$38</f>
        <v>350500.00000000006</v>
      </c>
      <c r="Q9" s="37">
        <f>'All Cash'!$H$31</f>
        <v>3.7499999999999999E-2</v>
      </c>
      <c r="R9" s="38">
        <f>'All Cash'!$D$24</f>
        <v>345500</v>
      </c>
      <c r="S9" s="38">
        <v>0</v>
      </c>
      <c r="T9" s="39">
        <f t="shared" si="3"/>
        <v>40344.547851562616</v>
      </c>
      <c r="U9" s="39">
        <v>0</v>
      </c>
      <c r="V9" s="39">
        <f>(R9+T9)*'All Cash'!$H$35</f>
        <v>27009.118349609387</v>
      </c>
      <c r="W9" s="36">
        <f>'All Cash'!$I$27*'All Cash'!$M9</f>
        <v>45475.550760999999</v>
      </c>
      <c r="X9" s="34">
        <f t="shared" si="4"/>
        <v>16538.516920333335</v>
      </c>
      <c r="Y9" s="80">
        <f t="shared" si="5"/>
        <v>0</v>
      </c>
      <c r="Z9" s="70">
        <f t="shared" si="0"/>
        <v>16538.516920333335</v>
      </c>
    </row>
    <row r="10" spans="1:26" ht="14.25" customHeight="1" x14ac:dyDescent="0.25">
      <c r="A10" s="10"/>
      <c r="B10" s="43"/>
      <c r="C10" s="43"/>
      <c r="D10" s="44"/>
      <c r="E10" s="45"/>
      <c r="F10" s="43"/>
      <c r="G10" s="43"/>
      <c r="H10" s="43"/>
      <c r="I10" s="43"/>
      <c r="M10" s="30">
        <v>4</v>
      </c>
      <c r="N10" s="34">
        <f t="shared" si="1"/>
        <v>87425.825789609909</v>
      </c>
      <c r="O10" s="35">
        <f t="shared" si="2"/>
        <v>6.235793565592717E-2</v>
      </c>
      <c r="P10" s="36">
        <f>'All Cash'!$D$38</f>
        <v>350500.00000000006</v>
      </c>
      <c r="Q10" s="37">
        <f>'All Cash'!$H$31</f>
        <v>3.7499999999999999E-2</v>
      </c>
      <c r="R10" s="38">
        <f>'All Cash'!$D$24</f>
        <v>345500</v>
      </c>
      <c r="S10" s="38">
        <v>0</v>
      </c>
      <c r="T10" s="39">
        <f t="shared" si="3"/>
        <v>54813.718395996315</v>
      </c>
      <c r="U10" s="39">
        <v>0</v>
      </c>
      <c r="V10" s="39">
        <f>(R10+T10)*'All Cash'!$H$35</f>
        <v>28021.960287719743</v>
      </c>
      <c r="W10" s="36">
        <f>'All Cash'!$I$27*'All Cash'!$M10</f>
        <v>60634.067681333334</v>
      </c>
      <c r="X10" s="34">
        <f t="shared" si="4"/>
        <v>16538.516920333335</v>
      </c>
      <c r="Y10" s="80">
        <f t="shared" si="5"/>
        <v>0</v>
      </c>
      <c r="Z10" s="70">
        <f t="shared" si="0"/>
        <v>16538.516920333335</v>
      </c>
    </row>
    <row r="11" spans="1:26" ht="14.25" customHeight="1" x14ac:dyDescent="0.25">
      <c r="A11" s="10"/>
      <c r="B11" s="43"/>
      <c r="C11" s="43"/>
      <c r="D11" s="44"/>
      <c r="E11" s="45"/>
      <c r="F11" s="43"/>
      <c r="G11" s="43"/>
      <c r="H11" s="43"/>
      <c r="I11" s="43"/>
      <c r="M11" s="30">
        <v>5</v>
      </c>
      <c r="N11" s="34">
        <f t="shared" si="1"/>
        <v>116545.28363900362</v>
      </c>
      <c r="O11" s="35">
        <f t="shared" si="2"/>
        <v>6.6502301648504195E-2</v>
      </c>
      <c r="P11" s="36">
        <f>'All Cash'!$D$38</f>
        <v>350500.00000000006</v>
      </c>
      <c r="Q11" s="37">
        <f>'All Cash'!$H$31</f>
        <v>3.7499999999999999E-2</v>
      </c>
      <c r="R11" s="38">
        <f>'All Cash'!$D$24</f>
        <v>345500</v>
      </c>
      <c r="S11" s="38">
        <v>0</v>
      </c>
      <c r="T11" s="39">
        <f t="shared" si="3"/>
        <v>69825.482835846196</v>
      </c>
      <c r="U11" s="39">
        <v>0</v>
      </c>
      <c r="V11" s="39">
        <f>(R11+T11)*'All Cash'!$H$35</f>
        <v>29072.783798509237</v>
      </c>
      <c r="W11" s="36">
        <f>'All Cash'!$I$27*'All Cash'!$M11</f>
        <v>75792.584601666662</v>
      </c>
      <c r="X11" s="34">
        <f t="shared" si="4"/>
        <v>16538.516920333335</v>
      </c>
      <c r="Y11" s="80">
        <f t="shared" si="5"/>
        <v>0</v>
      </c>
      <c r="Z11" s="70">
        <f t="shared" si="0"/>
        <v>16538.516920333335</v>
      </c>
    </row>
    <row r="12" spans="1:26" ht="14.25" customHeight="1" x14ac:dyDescent="0.25">
      <c r="A12" s="10"/>
      <c r="B12" s="43"/>
      <c r="C12" s="43"/>
      <c r="D12" s="44"/>
      <c r="E12" s="45"/>
      <c r="F12" s="43"/>
      <c r="G12" s="43"/>
      <c r="H12" s="43"/>
      <c r="I12" s="43"/>
      <c r="M12" s="30">
        <v>6</v>
      </c>
      <c r="N12" s="34">
        <f t="shared" si="1"/>
        <v>146188.2767732371</v>
      </c>
      <c r="O12" s="35">
        <f t="shared" si="2"/>
        <v>6.9514159188415151E-2</v>
      </c>
      <c r="P12" s="36">
        <f>'All Cash'!$D$38</f>
        <v>350500.00000000006</v>
      </c>
      <c r="Q12" s="37">
        <f>'All Cash'!$H$31</f>
        <v>3.7499999999999999E-2</v>
      </c>
      <c r="R12" s="38">
        <f>'All Cash'!$D$24</f>
        <v>345500</v>
      </c>
      <c r="S12" s="38">
        <v>0</v>
      </c>
      <c r="T12" s="39">
        <f t="shared" si="3"/>
        <v>85400.188442190469</v>
      </c>
      <c r="U12" s="39">
        <v>0</v>
      </c>
      <c r="V12" s="39">
        <f>(R12+T12)*'All Cash'!$H$35</f>
        <v>30163.013190953337</v>
      </c>
      <c r="W12" s="36">
        <f>'All Cash'!$I$27*'All Cash'!$M12</f>
        <v>90951.101521999997</v>
      </c>
      <c r="X12" s="34">
        <f t="shared" si="4"/>
        <v>16538.516920333335</v>
      </c>
      <c r="Y12" s="80">
        <f t="shared" si="5"/>
        <v>0</v>
      </c>
      <c r="Z12" s="70">
        <f t="shared" si="0"/>
        <v>16538.516920333335</v>
      </c>
    </row>
    <row r="13" spans="1:26" ht="14.25" customHeight="1" x14ac:dyDescent="0.25">
      <c r="A13" s="10"/>
      <c r="B13" s="43"/>
      <c r="C13" s="43"/>
      <c r="D13" s="44"/>
      <c r="E13" s="45"/>
      <c r="F13" s="43"/>
      <c r="G13" s="43"/>
      <c r="H13" s="43"/>
      <c r="I13" s="43"/>
      <c r="M13" s="30">
        <v>7</v>
      </c>
      <c r="N13" s="34">
        <f t="shared" si="1"/>
        <v>176374.43776549186</v>
      </c>
      <c r="O13" s="35">
        <f t="shared" si="2"/>
        <v>7.1886870905030306E-2</v>
      </c>
      <c r="P13" s="36">
        <f>'All Cash'!$D$38</f>
        <v>350500.00000000006</v>
      </c>
      <c r="Q13" s="37">
        <f>'All Cash'!$H$31</f>
        <v>3.7499999999999999E-2</v>
      </c>
      <c r="R13" s="38">
        <f>'All Cash'!$D$24</f>
        <v>345500</v>
      </c>
      <c r="S13" s="38">
        <v>0</v>
      </c>
      <c r="T13" s="39">
        <f t="shared" si="3"/>
        <v>101558.94550877262</v>
      </c>
      <c r="U13" s="39">
        <v>0</v>
      </c>
      <c r="V13" s="39">
        <f>(R13+T13)*'All Cash'!$H$35</f>
        <v>31294.126185614088</v>
      </c>
      <c r="W13" s="36">
        <f>'All Cash'!$I$27*'All Cash'!$M13</f>
        <v>106109.61844233333</v>
      </c>
      <c r="X13" s="34">
        <f t="shared" si="4"/>
        <v>16538.516920333335</v>
      </c>
      <c r="Y13" s="80">
        <f t="shared" si="5"/>
        <v>0</v>
      </c>
      <c r="Z13" s="70">
        <f t="shared" si="0"/>
        <v>16538.516920333335</v>
      </c>
    </row>
    <row r="14" spans="1:26" ht="14.25" customHeight="1" x14ac:dyDescent="0.25">
      <c r="A14" s="10"/>
      <c r="B14" s="43"/>
      <c r="C14" s="43"/>
      <c r="D14" s="44"/>
      <c r="E14" s="45"/>
      <c r="F14" s="43"/>
      <c r="G14" s="43"/>
      <c r="H14" s="43"/>
      <c r="I14" s="43"/>
      <c r="M14" s="30">
        <v>8</v>
      </c>
      <c r="N14" s="34">
        <f t="shared" si="1"/>
        <v>207124.13541044373</v>
      </c>
      <c r="O14" s="35">
        <f t="shared" si="2"/>
        <v>7.3867380674195335E-2</v>
      </c>
      <c r="P14" s="36">
        <f>'All Cash'!$D$38</f>
        <v>350500.00000000006</v>
      </c>
      <c r="Q14" s="37">
        <f>'All Cash'!$H$31</f>
        <v>3.7499999999999999E-2</v>
      </c>
      <c r="R14" s="38">
        <f>'All Cash'!$D$24</f>
        <v>345500</v>
      </c>
      <c r="S14" s="38">
        <v>0</v>
      </c>
      <c r="T14" s="39">
        <f t="shared" si="3"/>
        <v>118323.65596535167</v>
      </c>
      <c r="U14" s="39">
        <v>0</v>
      </c>
      <c r="V14" s="39">
        <f>(R14+T14)*'All Cash'!$H$35</f>
        <v>32467.655917574619</v>
      </c>
      <c r="W14" s="36">
        <f>'All Cash'!$I$27*'All Cash'!$M14</f>
        <v>121268.13536266667</v>
      </c>
      <c r="X14" s="34">
        <f t="shared" si="4"/>
        <v>16538.516920333335</v>
      </c>
      <c r="Y14" s="80">
        <f t="shared" si="5"/>
        <v>0</v>
      </c>
      <c r="Z14" s="70">
        <f t="shared" si="0"/>
        <v>16538.516920333335</v>
      </c>
    </row>
    <row r="15" spans="1:26" ht="14.25" customHeight="1" x14ac:dyDescent="0.25">
      <c r="A15" s="10"/>
      <c r="B15" s="43"/>
      <c r="C15" s="43"/>
      <c r="D15" s="44"/>
      <c r="E15" s="45"/>
      <c r="F15" s="43"/>
      <c r="G15" s="43"/>
      <c r="H15" s="43"/>
      <c r="I15" s="43"/>
      <c r="M15" s="30">
        <v>9</v>
      </c>
      <c r="N15" s="34">
        <f t="shared" si="1"/>
        <v>238458.50233256881</v>
      </c>
      <c r="O15" s="35">
        <f t="shared" si="2"/>
        <v>7.5593121677783717E-2</v>
      </c>
      <c r="P15" s="36">
        <f>'All Cash'!$D$38</f>
        <v>350500.00000000006</v>
      </c>
      <c r="Q15" s="37">
        <f>'All Cash'!$H$31</f>
        <v>3.7499999999999999E-2</v>
      </c>
      <c r="R15" s="38">
        <f>'All Cash'!$D$24</f>
        <v>345500</v>
      </c>
      <c r="S15" s="38">
        <v>0</v>
      </c>
      <c r="T15" s="39">
        <f t="shared" si="3"/>
        <v>135717.04306405247</v>
      </c>
      <c r="U15" s="39">
        <v>0</v>
      </c>
      <c r="V15" s="39">
        <f>(R15+T15)*'All Cash'!$H$35</f>
        <v>33685.193014483673</v>
      </c>
      <c r="W15" s="36">
        <f>'All Cash'!$I$27*'All Cash'!$M15</f>
        <v>136426.652283</v>
      </c>
      <c r="X15" s="34">
        <f t="shared" si="4"/>
        <v>16538.516920333335</v>
      </c>
      <c r="Y15" s="80">
        <f t="shared" si="5"/>
        <v>0</v>
      </c>
      <c r="Z15" s="70">
        <f t="shared" si="0"/>
        <v>16538.516920333335</v>
      </c>
    </row>
    <row r="16" spans="1:26" ht="14.25" customHeight="1" x14ac:dyDescent="0.25">
      <c r="A16" s="10"/>
      <c r="B16" s="43"/>
      <c r="C16" s="43"/>
      <c r="D16" s="44"/>
      <c r="E16" s="45"/>
      <c r="F16" s="43"/>
      <c r="G16" s="43"/>
      <c r="H16" s="43"/>
      <c r="I16" s="43"/>
      <c r="M16" s="30">
        <v>10</v>
      </c>
      <c r="N16" s="34">
        <f t="shared" si="1"/>
        <v>270399.46362976101</v>
      </c>
      <c r="O16" s="35">
        <f t="shared" si="2"/>
        <v>7.7146779922898992E-2</v>
      </c>
      <c r="P16" s="36">
        <f>'All Cash'!$D$38</f>
        <v>350500.00000000006</v>
      </c>
      <c r="Q16" s="37">
        <f>'All Cash'!$H$31</f>
        <v>3.7499999999999999E-2</v>
      </c>
      <c r="R16" s="38">
        <f>'All Cash'!$D$24</f>
        <v>345500</v>
      </c>
      <c r="S16" s="38">
        <v>0</v>
      </c>
      <c r="T16" s="39">
        <f t="shared" si="3"/>
        <v>153762.68217895448</v>
      </c>
      <c r="U16" s="39">
        <v>0</v>
      </c>
      <c r="V16" s="39">
        <f>(R16+T16)*'All Cash'!$H$35</f>
        <v>34948.387752526818</v>
      </c>
      <c r="W16" s="36">
        <f>'All Cash'!$I$27*'All Cash'!$M16</f>
        <v>151585.16920333332</v>
      </c>
      <c r="X16" s="34">
        <f t="shared" si="4"/>
        <v>16538.516920333335</v>
      </c>
      <c r="Y16" s="80">
        <f t="shared" si="5"/>
        <v>0</v>
      </c>
      <c r="Z16" s="70">
        <f t="shared" si="0"/>
        <v>16538.516920333335</v>
      </c>
    </row>
    <row r="17" spans="1:26" ht="14.25" customHeight="1" x14ac:dyDescent="0.25">
      <c r="A17" s="10"/>
      <c r="B17" s="43"/>
      <c r="C17" s="43"/>
      <c r="D17" s="44"/>
      <c r="E17" s="45"/>
      <c r="F17" s="43"/>
      <c r="G17" s="43"/>
      <c r="H17" s="43"/>
      <c r="I17" s="43"/>
      <c r="M17" s="30">
        <v>11</v>
      </c>
      <c r="N17" s="34">
        <f t="shared" si="1"/>
        <v>302969.76659108541</v>
      </c>
      <c r="O17" s="35">
        <f t="shared" si="2"/>
        <v>7.8581187029201235E-2</v>
      </c>
      <c r="P17" s="36">
        <f>'All Cash'!$D$38</f>
        <v>350500.00000000006</v>
      </c>
      <c r="Q17" s="37">
        <f>'All Cash'!$H$31</f>
        <v>3.7499999999999999E-2</v>
      </c>
      <c r="R17" s="38">
        <f>'All Cash'!$D$24</f>
        <v>345500</v>
      </c>
      <c r="S17" s="38">
        <v>0</v>
      </c>
      <c r="T17" s="39">
        <f t="shared" si="3"/>
        <v>172485.03276066529</v>
      </c>
      <c r="U17" s="39">
        <v>0</v>
      </c>
      <c r="V17" s="39">
        <f>(R17+T17)*'All Cash'!$H$35</f>
        <v>36258.952293246577</v>
      </c>
      <c r="W17" s="36">
        <f>'All Cash'!$I$27*'All Cash'!$M17</f>
        <v>166743.68612366667</v>
      </c>
      <c r="X17" s="34">
        <f t="shared" si="4"/>
        <v>16538.516920333335</v>
      </c>
      <c r="Y17" s="80">
        <f t="shared" si="5"/>
        <v>0</v>
      </c>
      <c r="Z17" s="70">
        <f t="shared" si="0"/>
        <v>16538.516920333335</v>
      </c>
    </row>
    <row r="18" spans="1:26" ht="14.25" customHeight="1" x14ac:dyDescent="0.25">
      <c r="A18" s="10"/>
      <c r="B18" s="43"/>
      <c r="C18" s="43"/>
      <c r="D18" s="44"/>
      <c r="E18" s="45"/>
      <c r="F18" s="43"/>
      <c r="G18" s="43"/>
      <c r="H18" s="43"/>
      <c r="I18" s="43"/>
      <c r="M18" s="30">
        <v>12</v>
      </c>
      <c r="N18" s="34">
        <f t="shared" si="1"/>
        <v>336193.01152894698</v>
      </c>
      <c r="O18" s="35">
        <f t="shared" si="2"/>
        <v>7.9931766887528996E-2</v>
      </c>
      <c r="P18" s="36">
        <f>'All Cash'!$D$38</f>
        <v>350500.00000000006</v>
      </c>
      <c r="Q18" s="37">
        <f>'All Cash'!$H$31</f>
        <v>3.7499999999999999E-2</v>
      </c>
      <c r="R18" s="38">
        <f>'All Cash'!$D$24</f>
        <v>345500</v>
      </c>
      <c r="S18" s="38">
        <v>0</v>
      </c>
      <c r="T18" s="39">
        <f t="shared" si="3"/>
        <v>191909.47148919036</v>
      </c>
      <c r="U18" s="39">
        <v>0</v>
      </c>
      <c r="V18" s="39">
        <f>(R18+T18)*'All Cash'!$H$35</f>
        <v>37618.663004243332</v>
      </c>
      <c r="W18" s="36">
        <f>'All Cash'!$I$27*'All Cash'!$M18</f>
        <v>181902.20304399999</v>
      </c>
      <c r="X18" s="34">
        <f t="shared" si="4"/>
        <v>16538.516920333335</v>
      </c>
      <c r="Y18" s="80">
        <f t="shared" si="5"/>
        <v>0</v>
      </c>
      <c r="Z18" s="70">
        <f t="shared" si="0"/>
        <v>16538.516920333335</v>
      </c>
    </row>
    <row r="19" spans="1:26" ht="14.25" customHeight="1" x14ac:dyDescent="0.25">
      <c r="A19" s="10"/>
      <c r="B19" s="43"/>
      <c r="C19" s="43"/>
      <c r="D19" s="44"/>
      <c r="E19" s="45"/>
      <c r="F19" s="43"/>
      <c r="G19" s="43"/>
      <c r="H19" s="43"/>
      <c r="I19" s="43"/>
      <c r="M19" s="30">
        <v>13</v>
      </c>
      <c r="N19" s="34">
        <f t="shared" si="1"/>
        <v>370093.68376746593</v>
      </c>
      <c r="O19" s="35">
        <f t="shared" si="2"/>
        <v>8.1223237960598244E-2</v>
      </c>
      <c r="P19" s="36">
        <f>'All Cash'!$D$38</f>
        <v>350500.00000000006</v>
      </c>
      <c r="Q19" s="37">
        <f>'All Cash'!$H$31</f>
        <v>3.7499999999999999E-2</v>
      </c>
      <c r="R19" s="38">
        <f>'All Cash'!$D$24</f>
        <v>345500</v>
      </c>
      <c r="S19" s="38">
        <v>0</v>
      </c>
      <c r="T19" s="39">
        <f t="shared" si="3"/>
        <v>212062.32667003502</v>
      </c>
      <c r="U19" s="39">
        <v>0</v>
      </c>
      <c r="V19" s="39">
        <f>(R19+T19)*'All Cash'!$H$35</f>
        <v>39029.362866902455</v>
      </c>
      <c r="W19" s="36">
        <f>'All Cash'!$I$27*'All Cash'!$M19</f>
        <v>197060.71996433334</v>
      </c>
      <c r="X19" s="34">
        <f t="shared" si="4"/>
        <v>16538.516920333335</v>
      </c>
      <c r="Y19" s="80">
        <f t="shared" si="5"/>
        <v>0</v>
      </c>
      <c r="Z19" s="70">
        <f t="shared" si="0"/>
        <v>16538.516920333335</v>
      </c>
    </row>
    <row r="20" spans="1:26" ht="14.25" customHeight="1" x14ac:dyDescent="0.25">
      <c r="A20" s="10"/>
      <c r="B20" s="43"/>
      <c r="C20" s="43"/>
      <c r="D20" s="44"/>
      <c r="E20" s="45"/>
      <c r="F20" s="43"/>
      <c r="G20" s="43"/>
      <c r="H20" s="43"/>
      <c r="I20" s="43"/>
      <c r="M20" s="30">
        <v>14</v>
      </c>
      <c r="N20" s="34">
        <f t="shared" si="1"/>
        <v>404697.18683041679</v>
      </c>
      <c r="O20" s="35">
        <f t="shared" si="2"/>
        <v>8.2473443413575862E-2</v>
      </c>
      <c r="P20" s="36">
        <f>'All Cash'!$D$38</f>
        <v>350500.00000000006</v>
      </c>
      <c r="Q20" s="37">
        <f>'All Cash'!$H$31</f>
        <v>3.7499999999999999E-2</v>
      </c>
      <c r="R20" s="38">
        <f>'All Cash'!$D$24</f>
        <v>345500</v>
      </c>
      <c r="S20" s="38">
        <v>0</v>
      </c>
      <c r="T20" s="39">
        <f t="shared" si="3"/>
        <v>232970.91392016143</v>
      </c>
      <c r="U20" s="39">
        <v>0</v>
      </c>
      <c r="V20" s="39">
        <f>(R20+T20)*'All Cash'!$H$35</f>
        <v>40492.963974411301</v>
      </c>
      <c r="W20" s="36">
        <f>'All Cash'!$I$27*'All Cash'!$M20</f>
        <v>212219.23688466666</v>
      </c>
      <c r="X20" s="34">
        <f t="shared" si="4"/>
        <v>16538.516920333335</v>
      </c>
      <c r="Y20" s="80">
        <f t="shared" si="5"/>
        <v>0</v>
      </c>
      <c r="Z20" s="70">
        <f t="shared" si="0"/>
        <v>16538.516920333335</v>
      </c>
    </row>
    <row r="21" spans="1:26" ht="14.25" customHeight="1" x14ac:dyDescent="0.25">
      <c r="A21" s="10"/>
      <c r="B21" s="43"/>
      <c r="C21" s="43"/>
      <c r="D21" s="44"/>
      <c r="E21" s="45"/>
      <c r="F21" s="43"/>
      <c r="G21" s="43"/>
      <c r="H21" s="43"/>
      <c r="I21" s="43"/>
      <c r="M21" s="40">
        <v>15</v>
      </c>
      <c r="N21" s="34">
        <f t="shared" si="1"/>
        <v>440029.87687371572</v>
      </c>
      <c r="O21" s="35">
        <f t="shared" si="2"/>
        <v>8.3695649429142302E-2</v>
      </c>
      <c r="P21" s="36">
        <f>'All Cash'!$D$38</f>
        <v>350500.00000000006</v>
      </c>
      <c r="Q21" s="37">
        <f>'All Cash'!$H$31</f>
        <v>3.7499999999999999E-2</v>
      </c>
      <c r="R21" s="38">
        <f>'All Cash'!$D$24</f>
        <v>345500</v>
      </c>
      <c r="S21" s="38">
        <v>0</v>
      </c>
      <c r="T21" s="41">
        <f t="shared" si="3"/>
        <v>254663.57319216745</v>
      </c>
      <c r="U21" s="39">
        <v>0</v>
      </c>
      <c r="V21" s="39">
        <f>(R21+T21)*'All Cash'!$H$35</f>
        <v>42011.450123451723</v>
      </c>
      <c r="W21" s="36">
        <f>'All Cash'!$I$27*'All Cash'!$M21</f>
        <v>227377.75380500001</v>
      </c>
      <c r="X21" s="34">
        <f t="shared" si="4"/>
        <v>16538.516920333335</v>
      </c>
      <c r="Y21" s="80">
        <f t="shared" si="5"/>
        <v>558152.12306871568</v>
      </c>
      <c r="Z21" s="70">
        <f t="shared" si="0"/>
        <v>574690.63998904906</v>
      </c>
    </row>
    <row r="22" spans="1:26" ht="14.25" customHeight="1" x14ac:dyDescent="0.25">
      <c r="A22" s="10"/>
      <c r="B22" s="43"/>
      <c r="C22" s="43"/>
      <c r="D22" s="44"/>
      <c r="E22" s="45"/>
      <c r="F22" s="43"/>
      <c r="G22" s="43"/>
      <c r="H22" s="43"/>
      <c r="I22" s="43"/>
      <c r="M22" s="30">
        <v>16</v>
      </c>
      <c r="N22" s="34">
        <f t="shared" si="1"/>
        <v>476119.09840912605</v>
      </c>
      <c r="O22" s="35">
        <f t="shared" si="2"/>
        <v>8.489998188465156E-2</v>
      </c>
      <c r="P22" s="36">
        <f>'All Cash'!$D$38</f>
        <v>350500.00000000006</v>
      </c>
      <c r="Q22" s="37">
        <f>'All Cash'!$H$31</f>
        <v>3.7499999999999999E-2</v>
      </c>
      <c r="R22" s="38">
        <f>'All Cash'!$D$24</f>
        <v>345500</v>
      </c>
      <c r="S22" s="38">
        <v>0</v>
      </c>
      <c r="T22" s="39">
        <f t="shared" si="3"/>
        <v>277169.70718687389</v>
      </c>
      <c r="U22" s="39">
        <v>0</v>
      </c>
      <c r="V22" s="39">
        <f>(R22+T22)*'All Cash'!$H$35</f>
        <v>43586.879503081174</v>
      </c>
      <c r="W22" s="36">
        <f>'All Cash'!$I$27*'All Cash'!$M22</f>
        <v>242536.27072533334</v>
      </c>
      <c r="X22" s="34">
        <f t="shared" si="4"/>
        <v>16538.516920333335</v>
      </c>
      <c r="Y22" s="80">
        <f t="shared" si="5"/>
        <v>0</v>
      </c>
      <c r="Z22" s="70">
        <f t="shared" si="0"/>
        <v>0</v>
      </c>
    </row>
    <row r="23" spans="1:26" ht="18" x14ac:dyDescent="0.25">
      <c r="A23" s="10"/>
      <c r="B23" s="46" t="s">
        <v>0</v>
      </c>
      <c r="C23" s="46"/>
      <c r="D23" s="47"/>
      <c r="E23" s="48"/>
      <c r="F23" s="49"/>
      <c r="G23" s="46" t="s">
        <v>23</v>
      </c>
      <c r="H23" s="48" t="s">
        <v>11</v>
      </c>
      <c r="I23" s="48" t="s">
        <v>12</v>
      </c>
      <c r="M23" s="30">
        <v>17</v>
      </c>
      <c r="N23" s="34">
        <f t="shared" si="1"/>
        <v>512993.22136760154</v>
      </c>
      <c r="O23" s="35">
        <f t="shared" si="2"/>
        <v>8.6094356191592086E-2</v>
      </c>
      <c r="P23" s="36">
        <f>'All Cash'!$D$38</f>
        <v>350500.00000000006</v>
      </c>
      <c r="Q23" s="37">
        <f>'All Cash'!$H$31</f>
        <v>3.7499999999999999E-2</v>
      </c>
      <c r="R23" s="38">
        <f>'All Cash'!$D$24</f>
        <v>345500</v>
      </c>
      <c r="S23" s="38">
        <v>0</v>
      </c>
      <c r="T23" s="39">
        <f t="shared" si="3"/>
        <v>300519.82120638166</v>
      </c>
      <c r="U23" s="39">
        <v>0</v>
      </c>
      <c r="V23" s="39">
        <f>(R23+T23)*'All Cash'!$H$35</f>
        <v>45221.387484446721</v>
      </c>
      <c r="W23" s="36">
        <f>'All Cash'!$I$27*'All Cash'!$M23</f>
        <v>257694.78764566666</v>
      </c>
      <c r="X23" s="34">
        <f t="shared" si="4"/>
        <v>16538.516920333335</v>
      </c>
      <c r="Y23" s="80">
        <f t="shared" si="5"/>
        <v>0</v>
      </c>
      <c r="Z23" s="70">
        <f t="shared" si="0"/>
        <v>0</v>
      </c>
    </row>
    <row r="24" spans="1:26" x14ac:dyDescent="0.25">
      <c r="A24" s="10"/>
      <c r="B24" s="56" t="s">
        <v>84</v>
      </c>
      <c r="C24" s="56"/>
      <c r="D24" s="61">
        <f>D34</f>
        <v>345500</v>
      </c>
      <c r="E24" s="45"/>
      <c r="F24" s="43"/>
      <c r="G24" s="44" t="s">
        <v>24</v>
      </c>
      <c r="H24" s="50">
        <f>Summary!C11</f>
        <v>2300</v>
      </c>
      <c r="I24" s="53">
        <f>H24*12</f>
        <v>27600</v>
      </c>
      <c r="M24" s="30">
        <v>18</v>
      </c>
      <c r="N24" s="34">
        <f t="shared" si="1"/>
        <v>550681.67955250759</v>
      </c>
      <c r="O24" s="35">
        <f t="shared" si="2"/>
        <v>8.7285097408861548E-2</v>
      </c>
      <c r="P24" s="36">
        <f>'All Cash'!$D$38</f>
        <v>350500.00000000006</v>
      </c>
      <c r="Q24" s="37">
        <f>'All Cash'!$H$31</f>
        <v>3.7499999999999999E-2</v>
      </c>
      <c r="R24" s="38">
        <f>'All Cash'!$D$24</f>
        <v>345500</v>
      </c>
      <c r="S24" s="38">
        <v>0</v>
      </c>
      <c r="T24" s="39">
        <f t="shared" si="3"/>
        <v>324745.56450162106</v>
      </c>
      <c r="U24" s="39">
        <v>0</v>
      </c>
      <c r="V24" s="39">
        <f>(R24+T24)*'All Cash'!$H$35</f>
        <v>46917.189515113481</v>
      </c>
      <c r="W24" s="36">
        <f>'All Cash'!$I$27*'All Cash'!$M24</f>
        <v>272853.30456600001</v>
      </c>
      <c r="X24" s="34">
        <f t="shared" si="4"/>
        <v>16538.516920333335</v>
      </c>
      <c r="Y24" s="80">
        <f t="shared" si="5"/>
        <v>0</v>
      </c>
      <c r="Z24" s="70">
        <f t="shared" si="0"/>
        <v>0</v>
      </c>
    </row>
    <row r="25" spans="1:26" x14ac:dyDescent="0.25">
      <c r="A25" s="10"/>
      <c r="B25" s="56" t="s">
        <v>89</v>
      </c>
      <c r="C25" s="56"/>
      <c r="D25" s="61">
        <f>I25</f>
        <v>27600</v>
      </c>
      <c r="E25" s="45"/>
      <c r="F25" s="43"/>
      <c r="G25" s="44" t="s">
        <v>133</v>
      </c>
      <c r="H25" s="50">
        <f>H24*1</f>
        <v>2300</v>
      </c>
      <c r="I25" s="53">
        <f t="shared" ref="I25" si="6">H25*12</f>
        <v>27600</v>
      </c>
      <c r="M25" s="30">
        <v>19</v>
      </c>
      <c r="N25" s="34">
        <f t="shared" si="1"/>
        <v>589215.01053483505</v>
      </c>
      <c r="O25" s="35">
        <f t="shared" si="2"/>
        <v>8.8477364747328618E-2</v>
      </c>
      <c r="P25" s="36">
        <f>'All Cash'!$D$38</f>
        <v>350500.00000000006</v>
      </c>
      <c r="Q25" s="37">
        <f>'All Cash'!$H$31</f>
        <v>3.7499999999999999E-2</v>
      </c>
      <c r="R25" s="38">
        <f>'All Cash'!$D$24</f>
        <v>345500</v>
      </c>
      <c r="S25" s="38">
        <v>0</v>
      </c>
      <c r="T25" s="39">
        <f t="shared" si="3"/>
        <v>349879.77317043196</v>
      </c>
      <c r="U25" s="39">
        <v>0</v>
      </c>
      <c r="V25" s="39">
        <f>(R25+T25)*'All Cash'!$H$35</f>
        <v>48676.584121930238</v>
      </c>
      <c r="W25" s="36">
        <f>'All Cash'!$I$27*'All Cash'!$M25</f>
        <v>288011.82148633333</v>
      </c>
      <c r="X25" s="34">
        <f t="shared" si="4"/>
        <v>16538.516920333335</v>
      </c>
      <c r="Y25" s="80">
        <f t="shared" si="5"/>
        <v>0</v>
      </c>
      <c r="Z25" s="70">
        <f t="shared" si="0"/>
        <v>0</v>
      </c>
    </row>
    <row r="26" spans="1:26" x14ac:dyDescent="0.25">
      <c r="A26" s="10"/>
      <c r="B26" s="56" t="s">
        <v>2</v>
      </c>
      <c r="C26" s="56"/>
      <c r="D26" s="61">
        <f>D38</f>
        <v>350500.00000000006</v>
      </c>
      <c r="E26" s="45"/>
      <c r="F26" s="43"/>
      <c r="G26" s="44" t="s">
        <v>114</v>
      </c>
      <c r="H26" s="50">
        <f>D47</f>
        <v>1036.7902566388889</v>
      </c>
      <c r="I26" s="50">
        <f>E47</f>
        <v>12441.483079666665</v>
      </c>
      <c r="M26" s="30">
        <v>20</v>
      </c>
      <c r="N26" s="34">
        <f t="shared" si="1"/>
        <v>628624.8970444873</v>
      </c>
      <c r="O26" s="35">
        <f t="shared" si="2"/>
        <v>8.9675448936446106E-2</v>
      </c>
      <c r="P26" s="36">
        <f>'All Cash'!$D$38</f>
        <v>350500.00000000006</v>
      </c>
      <c r="Q26" s="37">
        <f>'All Cash'!$H$31</f>
        <v>3.7499999999999999E-2</v>
      </c>
      <c r="R26" s="38">
        <f>'All Cash'!$D$24</f>
        <v>345500</v>
      </c>
      <c r="S26" s="38">
        <v>0</v>
      </c>
      <c r="T26" s="39">
        <f t="shared" si="3"/>
        <v>375956.5146643233</v>
      </c>
      <c r="U26" s="39">
        <v>0</v>
      </c>
      <c r="V26" s="39">
        <f>(R26+T26)*'All Cash'!$H$35</f>
        <v>50501.956026502638</v>
      </c>
      <c r="W26" s="36">
        <f>'All Cash'!$I$27*'All Cash'!$M26</f>
        <v>303170.33840666665</v>
      </c>
      <c r="X26" s="34">
        <f t="shared" si="4"/>
        <v>16538.516920333335</v>
      </c>
      <c r="Y26" s="80">
        <f t="shared" si="5"/>
        <v>0</v>
      </c>
      <c r="Z26" s="70">
        <f t="shared" si="0"/>
        <v>0</v>
      </c>
    </row>
    <row r="27" spans="1:26" x14ac:dyDescent="0.25">
      <c r="A27" s="10"/>
      <c r="B27" s="56" t="s">
        <v>122</v>
      </c>
      <c r="C27" s="56"/>
      <c r="D27" s="61">
        <f>H27</f>
        <v>1263.2097433611111</v>
      </c>
      <c r="E27" s="45"/>
      <c r="F27" s="43"/>
      <c r="G27" s="56" t="s">
        <v>116</v>
      </c>
      <c r="H27" s="58">
        <f>H25-H26</f>
        <v>1263.2097433611111</v>
      </c>
      <c r="I27" s="59">
        <f>H27*12</f>
        <v>15158.516920333333</v>
      </c>
      <c r="M27" s="30">
        <v>21</v>
      </c>
      <c r="N27" s="34">
        <f t="shared" si="1"/>
        <v>668944.20991373912</v>
      </c>
      <c r="O27" s="35">
        <f t="shared" si="2"/>
        <v>9.0882984839853131E-2</v>
      </c>
      <c r="P27" s="36">
        <f>'All Cash'!$D$38</f>
        <v>350500.00000000006</v>
      </c>
      <c r="Q27" s="37">
        <f>'All Cash'!$H$31</f>
        <v>3.7499999999999999E-2</v>
      </c>
      <c r="R27" s="38">
        <f>'All Cash'!$D$24</f>
        <v>345500</v>
      </c>
      <c r="S27" s="38">
        <v>0</v>
      </c>
      <c r="T27" s="39">
        <f t="shared" si="3"/>
        <v>403011.13396423555</v>
      </c>
      <c r="U27" s="39">
        <v>0</v>
      </c>
      <c r="V27" s="39">
        <f>(R27+T27)*'All Cash'!$H$35</f>
        <v>52395.779377496496</v>
      </c>
      <c r="W27" s="36">
        <f>'All Cash'!$I$27*'All Cash'!$M27</f>
        <v>318328.85532700003</v>
      </c>
      <c r="X27" s="34">
        <f t="shared" si="4"/>
        <v>16538.516920333335</v>
      </c>
      <c r="Y27" s="80">
        <f t="shared" si="5"/>
        <v>0</v>
      </c>
      <c r="Z27" s="70">
        <f t="shared" si="0"/>
        <v>0</v>
      </c>
    </row>
    <row r="28" spans="1:26" x14ac:dyDescent="0.25">
      <c r="A28" s="10"/>
      <c r="B28" s="56" t="s">
        <v>123</v>
      </c>
      <c r="C28" s="56"/>
      <c r="D28" s="61">
        <f>H28</f>
        <v>1378.2097433611111</v>
      </c>
      <c r="E28" s="45"/>
      <c r="F28" s="43"/>
      <c r="G28" s="56" t="s">
        <v>115</v>
      </c>
      <c r="H28" s="58">
        <f>H25-H26+D45+D46</f>
        <v>1378.2097433611111</v>
      </c>
      <c r="I28" s="59">
        <f>H28*12</f>
        <v>16538.516920333335</v>
      </c>
      <c r="M28" s="30">
        <v>22</v>
      </c>
      <c r="N28" s="34">
        <f t="shared" si="1"/>
        <v>710207.05263107503</v>
      </c>
      <c r="O28" s="35">
        <f t="shared" si="2"/>
        <v>9.2103106293745934E-2</v>
      </c>
      <c r="P28" s="36">
        <f>'All Cash'!$D$38</f>
        <v>350500.00000000006</v>
      </c>
      <c r="Q28" s="37">
        <f>'All Cash'!$H$31</f>
        <v>3.7499999999999999E-2</v>
      </c>
      <c r="R28" s="38">
        <f>'All Cash'!$D$24</f>
        <v>345500</v>
      </c>
      <c r="S28" s="38">
        <v>0</v>
      </c>
      <c r="T28" s="39">
        <f t="shared" si="3"/>
        <v>431080.30148789438</v>
      </c>
      <c r="U28" s="39">
        <v>0</v>
      </c>
      <c r="V28" s="39">
        <f>(R28+T28)*'All Cash'!$H$35</f>
        <v>54360.621104152611</v>
      </c>
      <c r="W28" s="36">
        <f>'All Cash'!$I$27*'All Cash'!$M28</f>
        <v>333487.37224733335</v>
      </c>
      <c r="X28" s="34">
        <f t="shared" si="4"/>
        <v>16538.516920333335</v>
      </c>
      <c r="Y28" s="80">
        <f t="shared" si="5"/>
        <v>0</v>
      </c>
      <c r="Z28" s="70">
        <f t="shared" si="0"/>
        <v>0</v>
      </c>
    </row>
    <row r="29" spans="1:26" x14ac:dyDescent="0.25">
      <c r="A29" s="10"/>
      <c r="B29" s="56" t="s">
        <v>3</v>
      </c>
      <c r="C29" s="56"/>
      <c r="D29" s="61">
        <f>H38</f>
        <v>440029.87687371572</v>
      </c>
      <c r="E29" s="45"/>
      <c r="F29" s="43"/>
      <c r="G29" s="10"/>
      <c r="H29" s="10"/>
      <c r="I29" s="10"/>
      <c r="M29" s="30">
        <v>23</v>
      </c>
      <c r="N29" s="34">
        <f t="shared" si="1"/>
        <v>752448.80756579875</v>
      </c>
      <c r="O29" s="35">
        <f t="shared" si="2"/>
        <v>9.3338560759883227E-2</v>
      </c>
      <c r="P29" s="36">
        <f>'All Cash'!$D$38</f>
        <v>350500.00000000006</v>
      </c>
      <c r="Q29" s="37">
        <f>'All Cash'!$H$31</f>
        <v>3.7499999999999999E-2</v>
      </c>
      <c r="R29" s="38">
        <f>'All Cash'!$D$24</f>
        <v>345500</v>
      </c>
      <c r="S29" s="38">
        <v>0</v>
      </c>
      <c r="T29" s="39">
        <f t="shared" si="3"/>
        <v>460202.06279369036</v>
      </c>
      <c r="U29" s="39">
        <v>0</v>
      </c>
      <c r="V29" s="39">
        <f>(R29+T29)*'All Cash'!$H$35</f>
        <v>56399.144395558331</v>
      </c>
      <c r="W29" s="36">
        <f>'All Cash'!$I$27*'All Cash'!$M29</f>
        <v>348645.88916766667</v>
      </c>
      <c r="X29" s="34">
        <f t="shared" si="4"/>
        <v>16538.516920333335</v>
      </c>
      <c r="Y29" s="80">
        <f t="shared" si="5"/>
        <v>0</v>
      </c>
      <c r="Z29" s="70">
        <f t="shared" si="0"/>
        <v>0</v>
      </c>
    </row>
    <row r="30" spans="1:26" ht="18" x14ac:dyDescent="0.25">
      <c r="A30" s="10"/>
      <c r="B30" s="56" t="s">
        <v>4</v>
      </c>
      <c r="C30" s="56"/>
      <c r="D30" s="57">
        <f>H42</f>
        <v>8.3695649429142302E-2</v>
      </c>
      <c r="E30" s="45"/>
      <c r="F30" s="43"/>
      <c r="G30" s="46" t="s">
        <v>25</v>
      </c>
      <c r="H30" s="48"/>
      <c r="I30" s="48"/>
      <c r="M30" s="30">
        <v>24</v>
      </c>
      <c r="N30" s="34">
        <f t="shared" si="1"/>
        <v>795706.18392606231</v>
      </c>
      <c r="O30" s="35">
        <f t="shared" si="2"/>
        <v>9.4591795521405397E-2</v>
      </c>
      <c r="P30" s="36">
        <f>'All Cash'!$D$38</f>
        <v>350500.00000000006</v>
      </c>
      <c r="Q30" s="37">
        <f>'All Cash'!$H$31</f>
        <v>3.7499999999999999E-2</v>
      </c>
      <c r="R30" s="38">
        <f>'All Cash'!$D$24</f>
        <v>345500</v>
      </c>
      <c r="S30" s="38">
        <v>0</v>
      </c>
      <c r="T30" s="39">
        <f t="shared" si="3"/>
        <v>490415.890148454</v>
      </c>
      <c r="U30" s="39">
        <v>0</v>
      </c>
      <c r="V30" s="39">
        <f>(R30+T30)*'All Cash'!$H$35</f>
        <v>58514.112310391785</v>
      </c>
      <c r="W30" s="36">
        <f>'All Cash'!$I$27*'All Cash'!$M30</f>
        <v>363804.40608799999</v>
      </c>
      <c r="X30" s="34">
        <f t="shared" si="4"/>
        <v>16538.516920333335</v>
      </c>
      <c r="Y30" s="80">
        <f t="shared" si="5"/>
        <v>0</v>
      </c>
      <c r="Z30" s="70">
        <f t="shared" si="0"/>
        <v>0</v>
      </c>
    </row>
    <row r="31" spans="1:26" x14ac:dyDescent="0.25">
      <c r="A31" s="10"/>
      <c r="B31" s="56" t="s">
        <v>121</v>
      </c>
      <c r="D31" s="57">
        <f>H43</f>
        <v>7.0644798313655777E-2</v>
      </c>
      <c r="F31" s="43"/>
      <c r="G31" s="44" t="s">
        <v>26</v>
      </c>
      <c r="H31" s="62">
        <f>Summary!C12</f>
        <v>3.7499999999999999E-2</v>
      </c>
      <c r="I31" s="45"/>
      <c r="M31" s="30">
        <v>25</v>
      </c>
      <c r="N31" s="34">
        <f t="shared" si="1"/>
        <v>840017.26751532301</v>
      </c>
      <c r="O31" s="35">
        <f t="shared" si="2"/>
        <v>9.5865023396898466E-2</v>
      </c>
      <c r="P31" s="36">
        <f>'All Cash'!$D$38</f>
        <v>350500.00000000006</v>
      </c>
      <c r="Q31" s="37">
        <f>'All Cash'!$H$31</f>
        <v>3.7499999999999999E-2</v>
      </c>
      <c r="R31" s="38">
        <f>'All Cash'!$D$24</f>
        <v>345500</v>
      </c>
      <c r="S31" s="38">
        <v>0</v>
      </c>
      <c r="T31" s="39">
        <f t="shared" si="3"/>
        <v>521762.73602902121</v>
      </c>
      <c r="U31" s="39">
        <v>0</v>
      </c>
      <c r="V31" s="39">
        <f>(R31+T31)*'All Cash'!$H$35</f>
        <v>60708.391522031488</v>
      </c>
      <c r="W31" s="36">
        <f>'All Cash'!$I$27*'All Cash'!$M31</f>
        <v>378962.92300833331</v>
      </c>
      <c r="X31" s="34">
        <f t="shared" si="4"/>
        <v>16538.516920333335</v>
      </c>
      <c r="Y31" s="80">
        <f t="shared" si="5"/>
        <v>0</v>
      </c>
      <c r="Z31" s="70">
        <f t="shared" si="0"/>
        <v>0</v>
      </c>
    </row>
    <row r="32" spans="1:26" x14ac:dyDescent="0.25">
      <c r="A32" s="10"/>
      <c r="B32" s="56" t="s">
        <v>5</v>
      </c>
      <c r="C32" s="56"/>
      <c r="D32" s="57">
        <f>H44</f>
        <v>4.3874144487216597E-2</v>
      </c>
      <c r="E32" s="45"/>
      <c r="F32" s="43"/>
      <c r="G32" s="44" t="s">
        <v>27</v>
      </c>
      <c r="H32" s="79">
        <f>Summary!C13</f>
        <v>15</v>
      </c>
      <c r="I32" s="45"/>
      <c r="M32" s="30">
        <v>26</v>
      </c>
      <c r="N32" s="34">
        <f t="shared" si="1"/>
        <v>885421.57235466863</v>
      </c>
      <c r="O32" s="35">
        <f t="shared" si="2"/>
        <v>9.7160273494422078E-2</v>
      </c>
      <c r="P32" s="36">
        <f>'All Cash'!$D$38</f>
        <v>350500.00000000006</v>
      </c>
      <c r="Q32" s="37">
        <f>'All Cash'!$H$31</f>
        <v>3.7499999999999999E-2</v>
      </c>
      <c r="R32" s="38">
        <f>'All Cash'!$D$24</f>
        <v>345500</v>
      </c>
      <c r="S32" s="38">
        <v>0</v>
      </c>
      <c r="T32" s="39">
        <f t="shared" si="3"/>
        <v>554285.08863010968</v>
      </c>
      <c r="U32" s="39">
        <v>0</v>
      </c>
      <c r="V32" s="39">
        <f>(R32+T32)*'All Cash'!$H$35</f>
        <v>62984.956204107686</v>
      </c>
      <c r="W32" s="36">
        <f>'All Cash'!$I$27*'All Cash'!$M32</f>
        <v>394121.43992866669</v>
      </c>
      <c r="X32" s="34">
        <f t="shared" si="4"/>
        <v>16538.516920333335</v>
      </c>
      <c r="Y32" s="80">
        <f t="shared" si="5"/>
        <v>0</v>
      </c>
      <c r="Z32" s="70">
        <f t="shared" si="0"/>
        <v>0</v>
      </c>
    </row>
    <row r="33" spans="1:26" ht="18" x14ac:dyDescent="0.25">
      <c r="A33" s="10"/>
      <c r="B33" s="46" t="s">
        <v>6</v>
      </c>
      <c r="C33" s="46"/>
      <c r="D33" s="47"/>
      <c r="E33" s="48"/>
      <c r="F33" s="43"/>
      <c r="G33" s="56" t="str">
        <f>CONCATENATE("Appreciation After ",H32," Years")</f>
        <v>Appreciation After 15 Years</v>
      </c>
      <c r="H33" s="58">
        <f>$D$34*(1+H31)^H32-$D$34</f>
        <v>254663.57319216745</v>
      </c>
      <c r="I33" s="10"/>
      <c r="M33" s="30">
        <v>27</v>
      </c>
      <c r="N33" s="34">
        <f t="shared" si="1"/>
        <v>931960.09424097708</v>
      </c>
      <c r="O33" s="35">
        <f t="shared" si="2"/>
        <v>9.8479430891422512E-2</v>
      </c>
      <c r="P33" s="36">
        <f>'All Cash'!$D$38</f>
        <v>350500.00000000006</v>
      </c>
      <c r="Q33" s="37">
        <f>'All Cash'!$H$31</f>
        <v>3.7499999999999999E-2</v>
      </c>
      <c r="R33" s="38">
        <f>'All Cash'!$D$24</f>
        <v>345500</v>
      </c>
      <c r="S33" s="38">
        <v>0</v>
      </c>
      <c r="T33" s="39">
        <f t="shared" si="3"/>
        <v>588027.02945373871</v>
      </c>
      <c r="U33" s="39">
        <v>0</v>
      </c>
      <c r="V33" s="39">
        <f>(R33+T33)*'All Cash'!$H$35</f>
        <v>65346.892061761719</v>
      </c>
      <c r="W33" s="36">
        <f>'All Cash'!$I$27*'All Cash'!$M33</f>
        <v>409279.95684900001</v>
      </c>
      <c r="X33" s="34">
        <f t="shared" si="4"/>
        <v>16538.516920333335</v>
      </c>
      <c r="Y33" s="80">
        <f t="shared" si="5"/>
        <v>0</v>
      </c>
      <c r="Z33" s="70">
        <f t="shared" si="0"/>
        <v>0</v>
      </c>
    </row>
    <row r="34" spans="1:26" x14ac:dyDescent="0.25">
      <c r="A34" s="10"/>
      <c r="B34" s="44" t="s">
        <v>84</v>
      </c>
      <c r="C34" s="44"/>
      <c r="D34" s="50">
        <f>Summary!C8</f>
        <v>345500</v>
      </c>
      <c r="E34" s="45"/>
      <c r="F34" s="43"/>
      <c r="G34" s="10"/>
      <c r="H34" s="10"/>
      <c r="I34" s="10"/>
      <c r="M34" s="30">
        <v>28</v>
      </c>
      <c r="N34" s="34">
        <f t="shared" si="1"/>
        <v>979675.36631350988</v>
      </c>
      <c r="O34" s="35">
        <f t="shared" si="2"/>
        <v>9.9824268016457066E-2</v>
      </c>
      <c r="P34" s="36">
        <f>'All Cash'!$D$38</f>
        <v>350500.00000000006</v>
      </c>
      <c r="Q34" s="37">
        <f>'All Cash'!$H$31</f>
        <v>3.7499999999999999E-2</v>
      </c>
      <c r="R34" s="38">
        <f>'All Cash'!$D$24</f>
        <v>345500</v>
      </c>
      <c r="S34" s="38">
        <v>0</v>
      </c>
      <c r="T34" s="39">
        <f t="shared" si="3"/>
        <v>623034.29305825429</v>
      </c>
      <c r="U34" s="39">
        <v>0</v>
      </c>
      <c r="V34" s="39">
        <f>(R34+T34)*'All Cash'!$H$35</f>
        <v>67797.400514077803</v>
      </c>
      <c r="W34" s="36">
        <f>'All Cash'!$I$27*'All Cash'!$M34</f>
        <v>424438.47376933333</v>
      </c>
      <c r="X34" s="34">
        <f t="shared" si="4"/>
        <v>16538.516920333335</v>
      </c>
      <c r="Y34" s="80">
        <f t="shared" si="5"/>
        <v>0</v>
      </c>
      <c r="Z34" s="70">
        <f t="shared" si="0"/>
        <v>0</v>
      </c>
    </row>
    <row r="35" spans="1:26" x14ac:dyDescent="0.25">
      <c r="A35" s="10"/>
      <c r="B35" s="44" t="s">
        <v>8</v>
      </c>
      <c r="C35" s="81">
        <v>1.0000000000000002</v>
      </c>
      <c r="D35" s="52">
        <f>C35*D34</f>
        <v>345500.00000000006</v>
      </c>
      <c r="E35" s="45"/>
      <c r="F35" s="43"/>
      <c r="G35" s="44" t="s">
        <v>31</v>
      </c>
      <c r="H35" s="51">
        <v>7.0000000000000007E-2</v>
      </c>
      <c r="I35" s="45" t="s">
        <v>74</v>
      </c>
      <c r="M35" s="30">
        <v>29</v>
      </c>
      <c r="N35" s="34">
        <f t="shared" si="1"/>
        <v>1028611.5167042495</v>
      </c>
      <c r="O35" s="35">
        <f t="shared" si="2"/>
        <v>0.10119646974315012</v>
      </c>
      <c r="P35" s="36">
        <f>'All Cash'!$D$38</f>
        <v>350500.00000000006</v>
      </c>
      <c r="Q35" s="37">
        <f>'All Cash'!$H$31</f>
        <v>3.7499999999999999E-2</v>
      </c>
      <c r="R35" s="38">
        <f>'All Cash'!$D$24</f>
        <v>345500</v>
      </c>
      <c r="S35" s="38">
        <v>0</v>
      </c>
      <c r="T35" s="39">
        <f t="shared" si="3"/>
        <v>659354.32904793869</v>
      </c>
      <c r="U35" s="39">
        <v>0</v>
      </c>
      <c r="V35" s="39">
        <f>(R35+T35)*'All Cash'!$H$35</f>
        <v>70339.803033355711</v>
      </c>
      <c r="W35" s="36">
        <f>'All Cash'!$I$27*'All Cash'!$M35</f>
        <v>439596.99068966665</v>
      </c>
      <c r="X35" s="34">
        <f t="shared" si="4"/>
        <v>16538.516920333335</v>
      </c>
      <c r="Y35" s="80">
        <f t="shared" si="5"/>
        <v>0</v>
      </c>
      <c r="Z35" s="70">
        <f t="shared" si="0"/>
        <v>0</v>
      </c>
    </row>
    <row r="36" spans="1:26" x14ac:dyDescent="0.25">
      <c r="A36" s="10"/>
      <c r="B36" s="44" t="s">
        <v>85</v>
      </c>
      <c r="C36" s="44"/>
      <c r="D36" s="52">
        <v>5000</v>
      </c>
      <c r="E36" s="45"/>
      <c r="F36" s="43"/>
      <c r="G36" s="44" t="s">
        <v>32</v>
      </c>
      <c r="H36" s="52">
        <f>(D34+H33)*$H$35</f>
        <v>42011.450123451723</v>
      </c>
      <c r="I36" s="45"/>
      <c r="M36" s="30">
        <v>30</v>
      </c>
      <c r="N36" s="34">
        <f t="shared" si="1"/>
        <v>1078814.32835013</v>
      </c>
      <c r="O36" s="35">
        <f t="shared" si="2"/>
        <v>0.10259765367095861</v>
      </c>
      <c r="P36" s="36">
        <f>'All Cash'!$D$38</f>
        <v>350500.00000000006</v>
      </c>
      <c r="Q36" s="37">
        <f>'All Cash'!$H$31</f>
        <v>3.7499999999999999E-2</v>
      </c>
      <c r="R36" s="38">
        <f>'All Cash'!$D$24</f>
        <v>345500</v>
      </c>
      <c r="S36" s="38">
        <v>0</v>
      </c>
      <c r="T36" s="39">
        <f t="shared" si="3"/>
        <v>697036.36638723663</v>
      </c>
      <c r="U36" s="39">
        <v>0</v>
      </c>
      <c r="V36" s="39">
        <f>(R36+T36)*'All Cash'!$H$35</f>
        <v>72977.54564710657</v>
      </c>
      <c r="W36" s="36">
        <f>'All Cash'!$I$27*'All Cash'!$M36</f>
        <v>454755.50761000003</v>
      </c>
      <c r="X36" s="34">
        <f t="shared" si="4"/>
        <v>16538.516920333335</v>
      </c>
      <c r="Y36" s="80">
        <f t="shared" si="5"/>
        <v>0</v>
      </c>
      <c r="Z36" s="70">
        <f t="shared" si="0"/>
        <v>0</v>
      </c>
    </row>
    <row r="37" spans="1:26" x14ac:dyDescent="0.25">
      <c r="A37" s="10"/>
      <c r="B37" s="44" t="s">
        <v>9</v>
      </c>
      <c r="C37" s="44"/>
      <c r="D37" s="50">
        <v>0</v>
      </c>
      <c r="E37" s="60"/>
      <c r="F37" s="43"/>
      <c r="G37" s="56" t="s">
        <v>28</v>
      </c>
      <c r="H37" s="64">
        <f>H32*I27</f>
        <v>227377.75380500001</v>
      </c>
      <c r="I37" s="45"/>
      <c r="J37" s="3"/>
      <c r="N37" s="34"/>
      <c r="Z37" s="70"/>
    </row>
    <row r="38" spans="1:26" x14ac:dyDescent="0.25">
      <c r="A38" s="10"/>
      <c r="B38" s="56" t="s">
        <v>2</v>
      </c>
      <c r="C38" s="56"/>
      <c r="D38" s="61">
        <f>SUM(D35:D37)</f>
        <v>350500.00000000006</v>
      </c>
      <c r="E38" s="45"/>
      <c r="F38" s="43"/>
      <c r="G38" s="56" t="s">
        <v>3</v>
      </c>
      <c r="H38" s="58">
        <f>H37+H33-H36</f>
        <v>440029.87687371572</v>
      </c>
      <c r="I38" s="45"/>
      <c r="J38" s="3"/>
      <c r="Z38" s="70"/>
    </row>
    <row r="39" spans="1:26" ht="18" x14ac:dyDescent="0.25">
      <c r="A39" s="10"/>
      <c r="B39" s="46" t="s">
        <v>113</v>
      </c>
      <c r="C39" s="46"/>
      <c r="D39" s="48" t="s">
        <v>11</v>
      </c>
      <c r="E39" s="48" t="s">
        <v>12</v>
      </c>
      <c r="F39" s="43"/>
      <c r="G39" s="10"/>
      <c r="H39" s="10"/>
      <c r="I39" s="45"/>
      <c r="Z39" s="70"/>
    </row>
    <row r="40" spans="1:26" x14ac:dyDescent="0.25">
      <c r="A40" s="10"/>
      <c r="B40" s="44" t="s">
        <v>17</v>
      </c>
      <c r="C40" s="82">
        <v>2.0030539999999999E-2</v>
      </c>
      <c r="D40" s="52">
        <f>C40*0.9*D34/12</f>
        <v>519.04136774999995</v>
      </c>
      <c r="E40" s="53">
        <f t="shared" ref="E40:E46" si="7">D40*12</f>
        <v>6228.4964129999989</v>
      </c>
      <c r="F40" s="43"/>
      <c r="G40" s="56" t="s">
        <v>117</v>
      </c>
      <c r="H40" s="65">
        <f>((H37/D38)/H32)</f>
        <v>4.3248265107941032E-2</v>
      </c>
      <c r="I40" s="45"/>
      <c r="Z40" s="70"/>
    </row>
    <row r="41" spans="1:26" x14ac:dyDescent="0.25">
      <c r="A41" s="10"/>
      <c r="B41" s="44" t="s">
        <v>86</v>
      </c>
      <c r="C41" s="44"/>
      <c r="D41" s="50">
        <v>105</v>
      </c>
      <c r="E41" s="53">
        <f t="shared" si="7"/>
        <v>1260</v>
      </c>
      <c r="F41" s="43"/>
      <c r="G41" s="56" t="s">
        <v>118</v>
      </c>
      <c r="H41" s="65">
        <f>((I28*H32)/D38)/H32</f>
        <v>4.7185497632905374E-2</v>
      </c>
      <c r="I41" s="45"/>
      <c r="Z41" s="70"/>
    </row>
    <row r="42" spans="1:26" x14ac:dyDescent="0.25">
      <c r="A42" s="10"/>
      <c r="B42" s="44" t="s">
        <v>124</v>
      </c>
      <c r="C42" s="44"/>
      <c r="D42" s="50">
        <f>1200/12</f>
        <v>100</v>
      </c>
      <c r="E42" s="53">
        <f t="shared" si="7"/>
        <v>1200</v>
      </c>
      <c r="F42" s="43"/>
      <c r="G42" s="56" t="s">
        <v>4</v>
      </c>
      <c r="H42" s="65">
        <f>H38/D38/H32</f>
        <v>8.3695649429142302E-2</v>
      </c>
      <c r="I42" s="45"/>
      <c r="Z42" s="70"/>
    </row>
    <row r="43" spans="1:26" x14ac:dyDescent="0.25">
      <c r="A43" s="10"/>
      <c r="B43" s="44" t="s">
        <v>18</v>
      </c>
      <c r="C43" s="84">
        <v>0.06</v>
      </c>
      <c r="D43" s="52">
        <f>(H25-D45)*C43</f>
        <v>133.85999999999999</v>
      </c>
      <c r="E43" s="53">
        <f t="shared" si="7"/>
        <v>1606.3199999999997</v>
      </c>
      <c r="F43" s="43"/>
      <c r="G43" s="56" t="s">
        <v>121</v>
      </c>
      <c r="H43" s="65">
        <f>IRR(Z6:Z36)</f>
        <v>7.0644798313655777E-2</v>
      </c>
      <c r="I43" s="45"/>
    </row>
    <row r="44" spans="1:26" x14ac:dyDescent="0.25">
      <c r="A44" s="10"/>
      <c r="B44" s="44" t="s">
        <v>22</v>
      </c>
      <c r="C44" s="81">
        <v>0.5</v>
      </c>
      <c r="D44" s="52">
        <f>(C44*H25)/18</f>
        <v>63.888888888888886</v>
      </c>
      <c r="E44" s="53">
        <f t="shared" si="7"/>
        <v>766.66666666666663</v>
      </c>
      <c r="F44" s="43"/>
      <c r="G44" s="56" t="s">
        <v>5</v>
      </c>
      <c r="H44" s="65">
        <f>(I25-E47)/D34</f>
        <v>4.3874144487216597E-2</v>
      </c>
      <c r="I44" s="45"/>
    </row>
    <row r="45" spans="1:26" x14ac:dyDescent="0.25">
      <c r="A45" s="10"/>
      <c r="B45" s="44" t="s">
        <v>20</v>
      </c>
      <c r="C45" s="81">
        <v>0.03</v>
      </c>
      <c r="D45" s="52">
        <f>C45*H25</f>
        <v>69</v>
      </c>
      <c r="E45" s="53">
        <f t="shared" si="7"/>
        <v>828</v>
      </c>
      <c r="F45" s="43"/>
      <c r="G45" s="10"/>
      <c r="H45" s="10"/>
      <c r="I45" s="10"/>
    </row>
    <row r="46" spans="1:26" ht="18" x14ac:dyDescent="0.25">
      <c r="A46" s="10"/>
      <c r="B46" s="44" t="s">
        <v>83</v>
      </c>
      <c r="C46" s="81">
        <v>0.02</v>
      </c>
      <c r="D46" s="52">
        <f>C46*H25</f>
        <v>46</v>
      </c>
      <c r="E46" s="53">
        <f t="shared" si="7"/>
        <v>552</v>
      </c>
      <c r="F46" s="43"/>
      <c r="G46" s="46" t="s">
        <v>33</v>
      </c>
      <c r="H46" s="48"/>
      <c r="I46" s="48"/>
    </row>
    <row r="47" spans="1:26" x14ac:dyDescent="0.25">
      <c r="A47" s="10"/>
      <c r="B47" s="56" t="s">
        <v>114</v>
      </c>
      <c r="C47" s="56"/>
      <c r="D47" s="58">
        <f>SUM(D40:D46)</f>
        <v>1036.7902566388889</v>
      </c>
      <c r="E47" s="58">
        <f>SUM(E40:E46)</f>
        <v>12441.483079666665</v>
      </c>
      <c r="F47" s="43"/>
      <c r="G47" s="56" t="s">
        <v>87</v>
      </c>
      <c r="H47" s="66"/>
      <c r="I47" s="58">
        <f>(D34-68000)/27.5</f>
        <v>10090.90909090909</v>
      </c>
    </row>
    <row r="48" spans="1:26" x14ac:dyDescent="0.25">
      <c r="A48" s="10"/>
      <c r="B48" s="10"/>
      <c r="C48" s="10"/>
      <c r="D48" s="17"/>
      <c r="E48" s="16"/>
      <c r="F48" s="43"/>
      <c r="G48" s="10"/>
      <c r="H48" s="10"/>
      <c r="I48" s="10"/>
    </row>
    <row r="49" spans="1:25" x14ac:dyDescent="0.25">
      <c r="A49" s="10"/>
      <c r="B49" s="44"/>
      <c r="C49" s="10"/>
      <c r="D49" s="55"/>
      <c r="E49" s="54"/>
      <c r="F49" s="43"/>
      <c r="G49" s="10"/>
      <c r="H49" s="10"/>
      <c r="I49" s="10"/>
    </row>
    <row r="50" spans="1:25" x14ac:dyDescent="0.25">
      <c r="A50" s="10"/>
      <c r="B50" s="18" t="s">
        <v>69</v>
      </c>
      <c r="C50" s="18"/>
      <c r="D50" s="17"/>
      <c r="E50" s="16"/>
      <c r="F50" s="10"/>
      <c r="G50" s="10"/>
      <c r="H50" s="10"/>
      <c r="I50" s="10"/>
    </row>
    <row r="51" spans="1:25" ht="67.5" customHeight="1" x14ac:dyDescent="0.25">
      <c r="A51" s="10"/>
      <c r="B51" s="112" t="s">
        <v>142</v>
      </c>
      <c r="C51" s="112"/>
      <c r="D51" s="112"/>
      <c r="E51" s="112"/>
      <c r="F51" s="112"/>
      <c r="G51" s="112"/>
      <c r="H51" s="112"/>
      <c r="I51" s="112"/>
    </row>
    <row r="52" spans="1:25" ht="18" x14ac:dyDescent="0.25">
      <c r="A52" s="10"/>
      <c r="B52" s="111" t="s">
        <v>71</v>
      </c>
      <c r="C52" s="111"/>
      <c r="D52" s="111"/>
      <c r="E52" s="111"/>
      <c r="F52" s="111"/>
      <c r="G52" s="111"/>
      <c r="H52" s="111"/>
      <c r="I52" s="111"/>
    </row>
    <row r="53" spans="1:25" x14ac:dyDescent="0.25">
      <c r="B53" s="10"/>
      <c r="C53" s="10"/>
      <c r="D53" s="17"/>
      <c r="E53" s="16"/>
      <c r="F53" s="43"/>
    </row>
    <row r="54" spans="1:25" ht="18" x14ac:dyDescent="0.25">
      <c r="B54" s="10"/>
      <c r="C54" s="10"/>
      <c r="D54" s="17"/>
      <c r="E54" s="16"/>
      <c r="F54" s="43"/>
      <c r="G54" s="75"/>
      <c r="H54" s="76"/>
      <c r="I54" s="76"/>
    </row>
    <row r="56" spans="1:25" x14ac:dyDescent="0.25">
      <c r="B56" s="10"/>
      <c r="C56" s="10"/>
      <c r="D56" s="17"/>
      <c r="E56" s="16"/>
      <c r="F56" s="43"/>
      <c r="G56" s="56"/>
      <c r="H56" s="68"/>
      <c r="I56" s="58"/>
    </row>
    <row r="59" spans="1:25" s="10" customFormat="1" ht="18" x14ac:dyDescent="0.25">
      <c r="B59" s="29"/>
      <c r="C59" s="29"/>
      <c r="D59" s="29"/>
      <c r="E59" s="29"/>
      <c r="F59" s="29"/>
      <c r="G59" s="29"/>
      <c r="H59" s="29"/>
      <c r="I59" s="29"/>
      <c r="L59" s="42"/>
      <c r="M59" s="42"/>
      <c r="N59" s="42"/>
      <c r="O59" s="42"/>
      <c r="P59" s="42"/>
      <c r="Q59" s="42"/>
      <c r="R59" s="42"/>
      <c r="S59" s="42"/>
      <c r="T59" s="42"/>
      <c r="U59" s="42"/>
      <c r="V59" s="42"/>
      <c r="W59" s="42"/>
      <c r="X59" s="42"/>
      <c r="Y59" s="42"/>
    </row>
    <row r="62" spans="1:25" x14ac:dyDescent="0.25">
      <c r="F62" s="10"/>
    </row>
    <row r="63" spans="1:25" x14ac:dyDescent="0.25">
      <c r="F63" s="10"/>
    </row>
    <row r="64" spans="1:25" x14ac:dyDescent="0.25">
      <c r="F64" s="10"/>
    </row>
    <row r="65" spans="6:6" x14ac:dyDescent="0.25">
      <c r="F65" s="10"/>
    </row>
    <row r="66" spans="6:6" x14ac:dyDescent="0.25">
      <c r="F66" s="10"/>
    </row>
    <row r="67" spans="6:6" x14ac:dyDescent="0.25">
      <c r="F67" s="10"/>
    </row>
    <row r="68" spans="6:6" x14ac:dyDescent="0.25">
      <c r="F68" s="10"/>
    </row>
    <row r="69" spans="6:6" x14ac:dyDescent="0.25">
      <c r="F69" s="10"/>
    </row>
    <row r="70" spans="6:6" x14ac:dyDescent="0.25">
      <c r="F70" s="10"/>
    </row>
  </sheetData>
  <sheetProtection selectLockedCells="1"/>
  <mergeCells count="6">
    <mergeCell ref="B52:I52"/>
    <mergeCell ref="B51:I51"/>
    <mergeCell ref="B1:I1"/>
    <mergeCell ref="B2:I2"/>
    <mergeCell ref="B3:I3"/>
    <mergeCell ref="B4:I4"/>
  </mergeCells>
  <pageMargins left="0.7" right="0.7" top="0.75" bottom="0.75" header="0.3" footer="0.3"/>
  <pageSetup scale="57"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F1CE52F9-849F-4877-862B-E89AD503665D}">
          <x14:formula1>
            <xm:f>DAta!$A$2:$A$23</xm:f>
          </x14:formula1>
          <xm:sqref>C35</xm:sqref>
        </x14:dataValidation>
        <x14:dataValidation type="list" allowBlank="1" showInputMessage="1" showErrorMessage="1" xr:uid="{2EBFBCE8-408A-48C7-BDFC-C7A94A1285AF}">
          <x14:formula1>
            <xm:f>DAta!$C$2:$C$11</xm:f>
          </x14:formula1>
          <xm:sqref>C45</xm:sqref>
        </x14:dataValidation>
        <x14:dataValidation type="list" allowBlank="1" showInputMessage="1" showErrorMessage="1" xr:uid="{BC5487F1-78A2-459D-971F-444D282CD1D6}">
          <x14:formula1>
            <xm:f>DAta!$E$2:$E$11</xm:f>
          </x14:formula1>
          <xm:sqref>C46</xm:sqref>
        </x14:dataValidation>
        <x14:dataValidation type="list" allowBlank="1" showInputMessage="1" showErrorMessage="1" xr:uid="{11CFB7E3-980A-48DA-8336-D10841795B4D}">
          <x14:formula1>
            <xm:f>DAta!$H$2:$H$31</xm:f>
          </x14:formula1>
          <xm:sqref>H32</xm:sqref>
        </x14:dataValidation>
        <x14:dataValidation type="list" allowBlank="1" showInputMessage="1" showErrorMessage="1" xr:uid="{9F8A9939-6349-4075-BCB8-776EC7955801}">
          <x14:formula1>
            <xm:f>DAta!$F$2:$F$12</xm:f>
          </x14:formula1>
          <xm:sqref>C43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C46E9-F5B9-4682-AB87-CC6FBA180BA8}">
  <sheetPr codeName="Sheet1">
    <pageSetUpPr fitToPage="1"/>
  </sheetPr>
  <dimension ref="A1:AA68"/>
  <sheetViews>
    <sheetView zoomScale="98" zoomScaleNormal="85" workbookViewId="0">
      <selection activeCell="D51" sqref="D51"/>
    </sheetView>
  </sheetViews>
  <sheetFormatPr defaultRowHeight="15" x14ac:dyDescent="0.25"/>
  <cols>
    <col min="1" max="1" width="3.42578125" customWidth="1"/>
    <col min="2" max="2" width="45" customWidth="1"/>
    <col min="3" max="3" width="9" customWidth="1"/>
    <col min="4" max="4" width="12.7109375" style="8" customWidth="1"/>
    <col min="5" max="5" width="13.140625" style="9" customWidth="1"/>
    <col min="6" max="6" width="5" customWidth="1"/>
    <col min="7" max="7" width="46.7109375" customWidth="1"/>
    <col min="8" max="8" width="14.140625" bestFit="1" customWidth="1"/>
    <col min="9" max="9" width="13.140625" customWidth="1"/>
    <col min="10" max="10" width="13.42578125" bestFit="1" customWidth="1"/>
    <col min="12" max="12" width="9" style="30" customWidth="1"/>
    <col min="13" max="13" width="9.28515625" style="30" hidden="1" customWidth="1"/>
    <col min="14" max="14" width="20.28515625" style="30" hidden="1" customWidth="1"/>
    <col min="15" max="15" width="20.85546875" style="30" hidden="1" customWidth="1"/>
    <col min="16" max="16" width="26.28515625" style="30" hidden="1" customWidth="1"/>
    <col min="17" max="17" width="19.28515625" style="30" hidden="1" customWidth="1"/>
    <col min="18" max="18" width="9.5703125" style="30" hidden="1" customWidth="1"/>
    <col min="19" max="19" width="12.7109375" style="30" hidden="1" customWidth="1"/>
    <col min="20" max="20" width="12.5703125" style="30" hidden="1" customWidth="1"/>
    <col min="21" max="21" width="17.5703125" style="30" hidden="1" customWidth="1"/>
    <col min="22" max="22" width="16.42578125" style="30" hidden="1" customWidth="1"/>
    <col min="23" max="23" width="24.140625" style="30" hidden="1" customWidth="1"/>
    <col min="24" max="24" width="13.5703125" style="30" hidden="1" customWidth="1"/>
    <col min="25" max="25" width="12.42578125" style="30" hidden="1" customWidth="1"/>
    <col min="26" max="26" width="20.5703125" hidden="1" customWidth="1"/>
    <col min="27" max="27" width="13.42578125" bestFit="1" customWidth="1"/>
  </cols>
  <sheetData>
    <row r="1" spans="1:26" x14ac:dyDescent="0.25">
      <c r="A1" s="10"/>
      <c r="B1" s="113"/>
      <c r="C1" s="113"/>
      <c r="D1" s="113"/>
      <c r="E1" s="113"/>
      <c r="F1" s="113"/>
      <c r="G1" s="113"/>
      <c r="H1" s="113"/>
      <c r="I1" s="113"/>
    </row>
    <row r="2" spans="1:26" x14ac:dyDescent="0.25">
      <c r="A2" s="10"/>
      <c r="B2" s="113"/>
      <c r="C2" s="113"/>
      <c r="D2" s="113"/>
      <c r="E2" s="113"/>
      <c r="F2" s="113"/>
      <c r="G2" s="113"/>
      <c r="H2" s="113"/>
      <c r="I2" s="113"/>
    </row>
    <row r="3" spans="1:26" ht="23.25" customHeight="1" x14ac:dyDescent="0.25">
      <c r="A3" s="10"/>
      <c r="B3" s="113"/>
      <c r="C3" s="113"/>
      <c r="D3" s="113"/>
      <c r="E3" s="113"/>
      <c r="F3" s="113"/>
      <c r="G3" s="113"/>
      <c r="H3" s="113"/>
      <c r="I3" s="113"/>
    </row>
    <row r="4" spans="1:26" ht="22.5" x14ac:dyDescent="0.3">
      <c r="A4" s="10"/>
      <c r="B4" s="114" t="s">
        <v>143</v>
      </c>
      <c r="C4" s="114"/>
      <c r="D4" s="114"/>
      <c r="E4" s="114"/>
      <c r="F4" s="114"/>
      <c r="G4" s="114"/>
      <c r="H4" s="114"/>
      <c r="I4" s="114"/>
    </row>
    <row r="5" spans="1:26"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28</v>
      </c>
      <c r="X5" s="33" t="s">
        <v>23</v>
      </c>
      <c r="Y5" s="33" t="s">
        <v>119</v>
      </c>
      <c r="Z5" s="33" t="s">
        <v>120</v>
      </c>
    </row>
    <row r="6" spans="1:26" ht="14.25" customHeight="1" x14ac:dyDescent="0.25">
      <c r="A6" s="10"/>
      <c r="B6" s="43"/>
      <c r="C6" s="43"/>
      <c r="D6" s="44"/>
      <c r="E6" s="45"/>
      <c r="F6" s="43"/>
      <c r="G6" s="43"/>
      <c r="H6" s="43"/>
      <c r="I6" s="43"/>
      <c r="M6" s="30">
        <v>0</v>
      </c>
      <c r="X6" s="34">
        <f>-D38</f>
        <v>-144804.32345245889</v>
      </c>
      <c r="Z6" s="70">
        <f>SUM(X6:Y6)</f>
        <v>-144804.32345245889</v>
      </c>
    </row>
    <row r="7" spans="1:26" ht="14.25" customHeight="1" x14ac:dyDescent="0.25">
      <c r="A7" s="10"/>
      <c r="B7" s="43"/>
      <c r="C7" s="43"/>
      <c r="D7" s="44"/>
      <c r="E7" s="45"/>
      <c r="F7" s="43"/>
      <c r="G7" s="43"/>
      <c r="H7" s="43"/>
      <c r="I7" s="43"/>
      <c r="M7" s="30">
        <v>1</v>
      </c>
      <c r="N7" s="34">
        <f t="shared" ref="N7:N36" si="0">W7+T7+U7-V7</f>
        <v>-4032.9642089924637</v>
      </c>
      <c r="O7" s="35">
        <f t="shared" ref="O7:O36" si="1">N7/P7/M7</f>
        <v>-2.7851131187505856E-2</v>
      </c>
      <c r="P7" s="36">
        <f>'With Loan'!$D$38</f>
        <v>144804.32345245889</v>
      </c>
      <c r="Q7" s="37">
        <f>'With Loan'!$H$31</f>
        <v>3.7499999999999999E-2</v>
      </c>
      <c r="R7" s="38">
        <f>'With Loan'!$D$24</f>
        <v>381000</v>
      </c>
      <c r="S7" s="38">
        <f>'With Loan'!$D$40</f>
        <v>247650</v>
      </c>
      <c r="T7" s="39">
        <f t="shared" ref="T7:T36" si="2">$R$7*(1+Q7)^M7-$R$7</f>
        <v>14287.500000000058</v>
      </c>
      <c r="U7" s="39">
        <f>S7-_xlfn.XLOOKUP($M7*12,'30% Down Amortization'!$A$4:$A$363,'30% Down Amortization'!$E$4:$E$363,0,0,1)</f>
        <v>4958.2610138671589</v>
      </c>
      <c r="V7" s="39">
        <f>(R7+T7)*'With Loan'!$H$36</f>
        <v>27670.125000000007</v>
      </c>
      <c r="W7" s="36">
        <f>'With Loan'!$I$27*'With Loan'!$M7</f>
        <v>4391.3997771403265</v>
      </c>
      <c r="X7" s="34">
        <f>$I$27</f>
        <v>4391.3997771403265</v>
      </c>
      <c r="Y7" s="80">
        <f>IF($H$32=$M7,R7+T7-V7-_xlfn.XLOOKUP(M7*12,'30% Down Amortization'!$A$4:$A$363,'30% Down Amortization'!$E$4:$E$363,0,0,1),0)</f>
        <v>0</v>
      </c>
      <c r="Z7" s="70">
        <f t="shared" ref="Z7:Z36" si="3">IF($H$32&gt;=M7,SUM(X7:Y7),0)</f>
        <v>4391.3997771403265</v>
      </c>
    </row>
    <row r="8" spans="1:26" ht="14.25" customHeight="1" x14ac:dyDescent="0.25">
      <c r="A8" s="10"/>
      <c r="B8" s="43"/>
      <c r="C8" s="43"/>
      <c r="D8" s="44"/>
      <c r="E8" s="45"/>
      <c r="F8" s="43"/>
      <c r="G8" s="43"/>
      <c r="H8" s="43"/>
      <c r="I8" s="43"/>
      <c r="M8" s="30">
        <v>2</v>
      </c>
      <c r="N8" s="34">
        <f t="shared" si="0"/>
        <v>19265.913796530956</v>
      </c>
      <c r="O8" s="35">
        <f t="shared" si="1"/>
        <v>6.6523959151178938E-2</v>
      </c>
      <c r="P8" s="36">
        <f>'With Loan'!$D$38</f>
        <v>144804.32345245889</v>
      </c>
      <c r="Q8" s="37">
        <f>'With Loan'!$H$31</f>
        <v>3.7499999999999999E-2</v>
      </c>
      <c r="R8" s="38">
        <f>'With Loan'!$D$24</f>
        <v>381000</v>
      </c>
      <c r="S8" s="38">
        <f>'With Loan'!$D$40</f>
        <v>247650</v>
      </c>
      <c r="T8" s="39">
        <f t="shared" si="2"/>
        <v>29110.781250000116</v>
      </c>
      <c r="U8" s="39">
        <f>S8-_xlfn.XLOOKUP($M8*12,'30% Down Amortization'!$A$4:$A$363,'30% Down Amortization'!$E$4:$E$363,0,0,1)</f>
        <v>10080.087679750199</v>
      </c>
      <c r="V8" s="39">
        <f>(R8+T8)*'With Loan'!$H$36</f>
        <v>28707.754687500012</v>
      </c>
      <c r="W8" s="36">
        <f>'With Loan'!$I$27*'With Loan'!$M8</f>
        <v>8782.799554280653</v>
      </c>
      <c r="X8" s="34">
        <f t="shared" ref="X8:X36" si="4">$I$27</f>
        <v>4391.3997771403265</v>
      </c>
      <c r="Y8" s="80">
        <f>IF($H$32=$M8,R8+T8-V8-_xlfn.XLOOKUP(M8*12,'30% Down Amortization'!$A$4:$A$363,'30% Down Amortization'!$E$4:$E$363,0,0,1),0)</f>
        <v>0</v>
      </c>
      <c r="Z8" s="70">
        <f t="shared" si="3"/>
        <v>4391.3997771403265</v>
      </c>
    </row>
    <row r="9" spans="1:26" ht="14.25" customHeight="1" x14ac:dyDescent="0.25">
      <c r="A9" s="10"/>
      <c r="B9" s="43"/>
      <c r="C9" s="43"/>
      <c r="D9" s="44"/>
      <c r="E9" s="45"/>
      <c r="F9" s="43"/>
      <c r="G9" s="43"/>
      <c r="H9" s="43"/>
      <c r="I9" s="43"/>
      <c r="M9" s="30">
        <v>3</v>
      </c>
      <c r="N9" s="34">
        <f t="shared" si="0"/>
        <v>43250.715175107369</v>
      </c>
      <c r="O9" s="35">
        <f t="shared" si="1"/>
        <v>9.9561288742199591E-2</v>
      </c>
      <c r="P9" s="36">
        <f>'With Loan'!$D$38</f>
        <v>144804.32345245889</v>
      </c>
      <c r="Q9" s="37">
        <f>'With Loan'!$H$31</f>
        <v>3.7499999999999999E-2</v>
      </c>
      <c r="R9" s="38">
        <f>'With Loan'!$D$24</f>
        <v>381000</v>
      </c>
      <c r="S9" s="38">
        <f>'With Loan'!$D$40</f>
        <v>247650</v>
      </c>
      <c r="T9" s="39">
        <f t="shared" si="2"/>
        <v>44489.935546875116</v>
      </c>
      <c r="U9" s="39">
        <f>S9-_xlfn.XLOOKUP($M9*12,'30% Down Amortization'!$A$4:$A$363,'30% Down Amortization'!$E$4:$E$363,0,0,1)</f>
        <v>15370.875785092532</v>
      </c>
      <c r="V9" s="39">
        <f>(R9+T9)*'With Loan'!$H$36</f>
        <v>29784.295488281259</v>
      </c>
      <c r="W9" s="36">
        <f>'With Loan'!$I$27*'With Loan'!$M9</f>
        <v>13174.199331420979</v>
      </c>
      <c r="X9" s="34">
        <f t="shared" si="4"/>
        <v>4391.3997771403265</v>
      </c>
      <c r="Y9" s="80">
        <f>IF($H$32=$M9,R9+T9-V9-_xlfn.XLOOKUP(M9*12,'30% Down Amortization'!$A$4:$A$363,'30% Down Amortization'!$E$4:$E$363,0,0,1),0)</f>
        <v>0</v>
      </c>
      <c r="Z9" s="70">
        <f t="shared" si="3"/>
        <v>4391.3997771403265</v>
      </c>
    </row>
    <row r="10" spans="1:26" ht="14.25" customHeight="1" x14ac:dyDescent="0.25">
      <c r="A10" s="10"/>
      <c r="B10" s="43"/>
      <c r="C10" s="43"/>
      <c r="D10" s="44"/>
      <c r="E10" s="45"/>
      <c r="F10" s="43"/>
      <c r="G10" s="43"/>
      <c r="H10" s="43"/>
      <c r="I10" s="43"/>
      <c r="M10" s="30">
        <v>4</v>
      </c>
      <c r="N10" s="34">
        <f t="shared" si="0"/>
        <v>67946.399785687827</v>
      </c>
      <c r="O10" s="35">
        <f t="shared" si="1"/>
        <v>0.11730727053877556</v>
      </c>
      <c r="P10" s="36">
        <f>'With Loan'!$D$38</f>
        <v>144804.32345245889</v>
      </c>
      <c r="Q10" s="37">
        <f>'With Loan'!$H$31</f>
        <v>3.7499999999999999E-2</v>
      </c>
      <c r="R10" s="38">
        <f>'With Loan'!$D$24</f>
        <v>381000</v>
      </c>
      <c r="S10" s="38">
        <f>'With Loan'!$D$40</f>
        <v>247650</v>
      </c>
      <c r="T10" s="39">
        <f t="shared" si="2"/>
        <v>60445.808129883022</v>
      </c>
      <c r="U10" s="39">
        <f>S10-_xlfn.XLOOKUP($M10*12,'30% Down Amortization'!$A$4:$A$363,'30% Down Amortization'!$E$4:$E$363,0,0,1)</f>
        <v>20836.199116335309</v>
      </c>
      <c r="V10" s="39">
        <f>(R10+T10)*'With Loan'!$H$36</f>
        <v>30901.206569091813</v>
      </c>
      <c r="W10" s="36">
        <f>'With Loan'!$I$27*'With Loan'!$M10</f>
        <v>17565.599108561306</v>
      </c>
      <c r="X10" s="34">
        <f t="shared" si="4"/>
        <v>4391.3997771403265</v>
      </c>
      <c r="Y10" s="80">
        <f>IF($H$32=$M10,R10+T10-V10-_xlfn.XLOOKUP(M10*12,'30% Down Amortization'!$A$4:$A$363,'30% Down Amortization'!$E$4:$E$363,0,0,1),0)</f>
        <v>0</v>
      </c>
      <c r="Z10" s="70">
        <f t="shared" si="3"/>
        <v>4391.3997771403265</v>
      </c>
    </row>
    <row r="11" spans="1:26" ht="14.25" customHeight="1" x14ac:dyDescent="0.25">
      <c r="A11" s="10"/>
      <c r="B11" s="43"/>
      <c r="C11" s="43"/>
      <c r="D11" s="44"/>
      <c r="E11" s="45"/>
      <c r="F11" s="43"/>
      <c r="G11" s="43"/>
      <c r="H11" s="43"/>
      <c r="I11" s="43"/>
      <c r="M11" s="30">
        <v>5</v>
      </c>
      <c r="N11" s="34">
        <f t="shared" si="0"/>
        <v>93378.838335862005</v>
      </c>
      <c r="O11" s="35">
        <f t="shared" si="1"/>
        <v>0.12897244517221818</v>
      </c>
      <c r="P11" s="36">
        <f>'With Loan'!$D$38</f>
        <v>144804.32345245889</v>
      </c>
      <c r="Q11" s="37">
        <f>'With Loan'!$H$31</f>
        <v>3.7499999999999999E-2</v>
      </c>
      <c r="R11" s="38">
        <f>'With Loan'!$D$24</f>
        <v>381000</v>
      </c>
      <c r="S11" s="38">
        <f>'With Loan'!$D$40</f>
        <v>247650</v>
      </c>
      <c r="T11" s="39">
        <f t="shared" si="2"/>
        <v>77000.025934753707</v>
      </c>
      <c r="U11" s="39">
        <f>S11-_xlfn.XLOOKUP($M11*12,'30% Down Amortization'!$A$4:$A$363,'30% Down Amortization'!$E$4:$E$363,0,0,1)</f>
        <v>26481.815330839425</v>
      </c>
      <c r="V11" s="39">
        <f>(R11+T11)*'With Loan'!$H$36</f>
        <v>32060.001815432763</v>
      </c>
      <c r="W11" s="36">
        <f>'With Loan'!$I$27*'With Loan'!$M11</f>
        <v>21956.998885701632</v>
      </c>
      <c r="X11" s="34">
        <f t="shared" si="4"/>
        <v>4391.3997771403265</v>
      </c>
      <c r="Y11" s="80">
        <f>IF($H$32=$M11,R11+T11-V11-_xlfn.XLOOKUP(M11*12,'30% Down Amortization'!$A$4:$A$363,'30% Down Amortization'!$E$4:$E$363,0,0,1),0)</f>
        <v>0</v>
      </c>
      <c r="Z11" s="70">
        <f t="shared" si="3"/>
        <v>4391.3997771403265</v>
      </c>
    </row>
    <row r="12" spans="1:26" ht="14.25" customHeight="1" x14ac:dyDescent="0.25">
      <c r="A12" s="10"/>
      <c r="B12" s="43"/>
      <c r="C12" s="43"/>
      <c r="D12" s="44"/>
      <c r="E12" s="45"/>
      <c r="F12" s="43"/>
      <c r="G12" s="43"/>
      <c r="H12" s="43"/>
      <c r="I12" s="43"/>
      <c r="M12" s="30">
        <v>6</v>
      </c>
      <c r="N12" s="34">
        <f t="shared" si="0"/>
        <v>119574.84570915124</v>
      </c>
      <c r="O12" s="35">
        <f t="shared" si="1"/>
        <v>0.13762807957918602</v>
      </c>
      <c r="P12" s="36">
        <f>'With Loan'!$D$38</f>
        <v>144804.32345245889</v>
      </c>
      <c r="Q12" s="37">
        <f>'With Loan'!$H$31</f>
        <v>3.7499999999999999E-2</v>
      </c>
      <c r="R12" s="38">
        <f>'With Loan'!$D$24</f>
        <v>381000</v>
      </c>
      <c r="S12" s="38">
        <f>'With Loan'!$D$40</f>
        <v>247650</v>
      </c>
      <c r="T12" s="39">
        <f t="shared" si="2"/>
        <v>94175.026907306979</v>
      </c>
      <c r="U12" s="39">
        <f>S12-_xlfn.XLOOKUP($M12*12,'30% Down Amortization'!$A$4:$A$363,'30% Down Amortization'!$E$4:$E$363,0,0,1)</f>
        <v>32313.672022513783</v>
      </c>
      <c r="V12" s="39">
        <f>(R12+T12)*'With Loan'!$H$36</f>
        <v>33262.25188351149</v>
      </c>
      <c r="W12" s="36">
        <f>'With Loan'!$I$27*'With Loan'!$M12</f>
        <v>26348.398662841959</v>
      </c>
      <c r="X12" s="34">
        <f t="shared" si="4"/>
        <v>4391.3997771403265</v>
      </c>
      <c r="Y12" s="80">
        <f>IF($H$32=$M12,R12+T12-V12-_xlfn.XLOOKUP(M12*12,'30% Down Amortization'!$A$4:$A$363,'30% Down Amortization'!$E$4:$E$363,0,0,1),0)</f>
        <v>0</v>
      </c>
      <c r="Z12" s="70">
        <f t="shared" si="3"/>
        <v>4391.3997771403265</v>
      </c>
    </row>
    <row r="13" spans="1:26" ht="14.25" customHeight="1" x14ac:dyDescent="0.25">
      <c r="A13" s="10"/>
      <c r="B13" s="43"/>
      <c r="C13" s="43"/>
      <c r="D13" s="44"/>
      <c r="E13" s="45"/>
      <c r="F13" s="43"/>
      <c r="G13" s="43"/>
      <c r="H13" s="43"/>
      <c r="I13" s="43"/>
      <c r="M13" s="30">
        <v>7</v>
      </c>
      <c r="N13" s="34">
        <f t="shared" si="0"/>
        <v>146562.21551470924</v>
      </c>
      <c r="O13" s="35">
        <f t="shared" si="1"/>
        <v>0.14459139658297709</v>
      </c>
      <c r="P13" s="36">
        <f>'With Loan'!$D$38</f>
        <v>144804.32345245889</v>
      </c>
      <c r="Q13" s="37">
        <f>'With Loan'!$H$31</f>
        <v>3.7499999999999999E-2</v>
      </c>
      <c r="R13" s="38">
        <f>'With Loan'!$D$24</f>
        <v>381000</v>
      </c>
      <c r="S13" s="38">
        <f>'With Loan'!$D$40</f>
        <v>247650</v>
      </c>
      <c r="T13" s="39">
        <f t="shared" si="2"/>
        <v>111994.09041633102</v>
      </c>
      <c r="U13" s="39">
        <f>S13-_xlfn.XLOOKUP($M13*12,'30% Down Amortization'!$A$4:$A$363,'30% Down Amortization'!$E$4:$E$363,0,0,1)</f>
        <v>38337.912987539108</v>
      </c>
      <c r="V13" s="39">
        <f>(R13+T13)*'With Loan'!$H$36</f>
        <v>34509.586329143174</v>
      </c>
      <c r="W13" s="36">
        <f>'With Loan'!$I$27*'With Loan'!$M13</f>
        <v>30739.798439982285</v>
      </c>
      <c r="X13" s="34">
        <f t="shared" si="4"/>
        <v>4391.3997771403265</v>
      </c>
      <c r="Y13" s="80">
        <f>IF($H$32=$M13,R13+T13-V13-_xlfn.XLOOKUP(M13*12,'30% Down Amortization'!$A$4:$A$363,'30% Down Amortization'!$E$4:$E$363,0,0,1),0)</f>
        <v>0</v>
      </c>
      <c r="Z13" s="70">
        <f t="shared" si="3"/>
        <v>4391.3997771403265</v>
      </c>
    </row>
    <row r="14" spans="1:26" ht="14.25" customHeight="1" x14ac:dyDescent="0.25">
      <c r="A14" s="10"/>
      <c r="B14" s="43"/>
      <c r="C14" s="43"/>
      <c r="D14" s="44"/>
      <c r="E14" s="45"/>
      <c r="F14" s="43"/>
      <c r="G14" s="43"/>
      <c r="H14" s="43"/>
      <c r="I14" s="43"/>
      <c r="M14" s="30">
        <v>8</v>
      </c>
      <c r="N14" s="34">
        <f t="shared" si="0"/>
        <v>174369.75590436909</v>
      </c>
      <c r="O14" s="35">
        <f t="shared" si="1"/>
        <v>0.15052188338286815</v>
      </c>
      <c r="P14" s="36">
        <f>'With Loan'!$D$38</f>
        <v>144804.32345245889</v>
      </c>
      <c r="Q14" s="37">
        <f>'With Loan'!$H$31</f>
        <v>3.7499999999999999E-2</v>
      </c>
      <c r="R14" s="38">
        <f>'With Loan'!$D$24</f>
        <v>381000</v>
      </c>
      <c r="S14" s="38">
        <f>'With Loan'!$D$40</f>
        <v>247650</v>
      </c>
      <c r="T14" s="39">
        <f t="shared" si="2"/>
        <v>130481.36880694353</v>
      </c>
      <c r="U14" s="39">
        <f>S14-_xlfn.XLOOKUP($M14*12,'30% Down Amortization'!$A$4:$A$363,'30% Down Amortization'!$E$4:$E$363,0,0,1)</f>
        <v>44560.884696788999</v>
      </c>
      <c r="V14" s="39">
        <f>(R14+T14)*'With Loan'!$H$36</f>
        <v>35803.695816486048</v>
      </c>
      <c r="W14" s="36">
        <f>'With Loan'!$I$27*'With Loan'!$M14</f>
        <v>35131.198217122612</v>
      </c>
      <c r="X14" s="34">
        <f t="shared" si="4"/>
        <v>4391.3997771403265</v>
      </c>
      <c r="Y14" s="80">
        <f>IF($H$32=$M14,R14+T14-V14-_xlfn.XLOOKUP(M14*12,'30% Down Amortization'!$A$4:$A$363,'30% Down Amortization'!$E$4:$E$363,0,0,1),0)</f>
        <v>0</v>
      </c>
      <c r="Z14" s="70">
        <f t="shared" si="3"/>
        <v>4391.3997771403265</v>
      </c>
    </row>
    <row r="15" spans="1:26" ht="14.25" customHeight="1" x14ac:dyDescent="0.25">
      <c r="A15" s="10"/>
      <c r="B15" s="43"/>
      <c r="C15" s="43"/>
      <c r="D15" s="44"/>
      <c r="E15" s="45"/>
      <c r="F15" s="43"/>
      <c r="G15" s="43"/>
      <c r="H15" s="43"/>
      <c r="I15" s="43"/>
      <c r="M15" s="30">
        <v>9</v>
      </c>
      <c r="N15" s="34">
        <f t="shared" si="0"/>
        <v>203027.32670362911</v>
      </c>
      <c r="O15" s="35">
        <f t="shared" si="1"/>
        <v>0.15578672872543797</v>
      </c>
      <c r="P15" s="36">
        <f>'With Loan'!$D$38</f>
        <v>144804.32345245889</v>
      </c>
      <c r="Q15" s="37">
        <f>'With Loan'!$H$31</f>
        <v>3.7499999999999999E-2</v>
      </c>
      <c r="R15" s="38">
        <f>'With Loan'!$D$24</f>
        <v>381000</v>
      </c>
      <c r="S15" s="38">
        <f>'With Loan'!$D$40</f>
        <v>247650</v>
      </c>
      <c r="T15" s="39">
        <f t="shared" si="2"/>
        <v>149661.920137204</v>
      </c>
      <c r="U15" s="39">
        <f>S15-_xlfn.XLOOKUP($M15*12,'30% Down Amortization'!$A$4:$A$363,'30% Down Amortization'!$E$4:$E$363,0,0,1)</f>
        <v>50989.142981766461</v>
      </c>
      <c r="V15" s="39">
        <f>(R15+T15)*'With Loan'!$H$36</f>
        <v>37146.334409604286</v>
      </c>
      <c r="W15" s="36">
        <f>'With Loan'!$I$27*'With Loan'!$M15</f>
        <v>39522.597994262935</v>
      </c>
      <c r="X15" s="34">
        <f t="shared" si="4"/>
        <v>4391.3997771403265</v>
      </c>
      <c r="Y15" s="80">
        <f>IF($H$32=$M15,R15+T15-V15-_xlfn.XLOOKUP(M15*12,'30% Down Amortization'!$A$4:$A$363,'30% Down Amortization'!$E$4:$E$363,0,0,1),0)</f>
        <v>0</v>
      </c>
      <c r="Z15" s="70">
        <f t="shared" si="3"/>
        <v>4391.3997771403265</v>
      </c>
    </row>
    <row r="16" spans="1:26" ht="14.25" customHeight="1" x14ac:dyDescent="0.25">
      <c r="A16" s="10"/>
      <c r="B16" s="43"/>
      <c r="C16" s="43"/>
      <c r="D16" s="44"/>
      <c r="E16" s="45"/>
      <c r="F16" s="43"/>
      <c r="G16" s="43"/>
      <c r="H16" s="43"/>
      <c r="I16" s="43"/>
      <c r="M16" s="30">
        <v>10</v>
      </c>
      <c r="N16" s="34">
        <f t="shared" si="0"/>
        <v>232565.87790488749</v>
      </c>
      <c r="O16" s="35">
        <f t="shared" si="1"/>
        <v>0.16060699871384837</v>
      </c>
      <c r="P16" s="36">
        <f>'With Loan'!$D$38</f>
        <v>144804.32345245889</v>
      </c>
      <c r="Q16" s="37">
        <f>'With Loan'!$H$31</f>
        <v>3.7499999999999999E-2</v>
      </c>
      <c r="R16" s="38">
        <f>'With Loan'!$D$24</f>
        <v>381000</v>
      </c>
      <c r="S16" s="38">
        <f>'With Loan'!$D$40</f>
        <v>247650</v>
      </c>
      <c r="T16" s="39">
        <f t="shared" si="2"/>
        <v>169561.74214234925</v>
      </c>
      <c r="U16" s="39">
        <f>S16-_xlfn.XLOOKUP($M16*12,'30% Down Amortization'!$A$4:$A$363,'30% Down Amortization'!$E$4:$E$363,0,0,1)</f>
        <v>57629.459941099398</v>
      </c>
      <c r="V16" s="39">
        <f>(R16+T16)*'With Loan'!$H$36</f>
        <v>38539.321949964455</v>
      </c>
      <c r="W16" s="36">
        <f>'With Loan'!$I$27*'With Loan'!$M16</f>
        <v>43913.997771403265</v>
      </c>
      <c r="X16" s="34">
        <f t="shared" si="4"/>
        <v>4391.3997771403265</v>
      </c>
      <c r="Y16" s="80">
        <f>IF($H$32=$M16,R16+T16-V16-_xlfn.XLOOKUP(M16*12,'30% Down Amortization'!$A$4:$A$363,'30% Down Amortization'!$E$4:$E$363,0,0,1),0)</f>
        <v>0</v>
      </c>
      <c r="Z16" s="70">
        <f t="shared" si="3"/>
        <v>4391.3997771403265</v>
      </c>
    </row>
    <row r="17" spans="1:27" ht="14.25" customHeight="1" x14ac:dyDescent="0.25">
      <c r="A17" s="10"/>
      <c r="B17" s="43"/>
      <c r="C17" s="43"/>
      <c r="D17" s="44"/>
      <c r="E17" s="45"/>
      <c r="F17" s="43"/>
      <c r="G17" s="43"/>
      <c r="H17" s="43"/>
      <c r="I17" s="43"/>
      <c r="M17" s="30">
        <v>11</v>
      </c>
      <c r="N17" s="34">
        <f t="shared" si="0"/>
        <v>263017.4895730142</v>
      </c>
      <c r="O17" s="35">
        <f t="shared" si="1"/>
        <v>0.16512408124419159</v>
      </c>
      <c r="P17" s="36">
        <f>'With Loan'!$D$38</f>
        <v>144804.32345245889</v>
      </c>
      <c r="Q17" s="37">
        <f>'With Loan'!$H$31</f>
        <v>3.7499999999999999E-2</v>
      </c>
      <c r="R17" s="38">
        <f>'With Loan'!$D$24</f>
        <v>381000</v>
      </c>
      <c r="S17" s="38">
        <f>'With Loan'!$D$40</f>
        <v>247650</v>
      </c>
      <c r="T17" s="39">
        <f t="shared" si="2"/>
        <v>190207.80747268733</v>
      </c>
      <c r="U17" s="39">
        <f>S17-_xlfn.XLOOKUP($M17*12,'30% Down Amortization'!$A$4:$A$363,'30% Down Amortization'!$E$4:$E$363,0,0,1)</f>
        <v>64488.831074871414</v>
      </c>
      <c r="V17" s="39">
        <f>(R17+T17)*'With Loan'!$H$36</f>
        <v>39984.546523088116</v>
      </c>
      <c r="W17" s="36">
        <f>'With Loan'!$I$27*'With Loan'!$M17</f>
        <v>48305.397548543595</v>
      </c>
      <c r="X17" s="34">
        <f t="shared" si="4"/>
        <v>4391.3997771403265</v>
      </c>
      <c r="Y17" s="80">
        <f>IF($H$32=$M17,R17+T17-V17-_xlfn.XLOOKUP(M17*12,'30% Down Amortization'!$A$4:$A$363,'30% Down Amortization'!$E$4:$E$363,0,0,1),0)</f>
        <v>0</v>
      </c>
      <c r="Z17" s="70">
        <f t="shared" si="3"/>
        <v>4391.3997771403265</v>
      </c>
    </row>
    <row r="18" spans="1:27" ht="14.25" customHeight="1" x14ac:dyDescent="0.25">
      <c r="A18" s="10"/>
      <c r="B18" s="43"/>
      <c r="C18" s="43"/>
      <c r="D18" s="44"/>
      <c r="E18" s="45"/>
      <c r="F18" s="43"/>
      <c r="G18" s="43"/>
      <c r="H18" s="43"/>
      <c r="I18" s="43"/>
      <c r="M18" s="30">
        <v>12</v>
      </c>
      <c r="N18" s="34">
        <f t="shared" si="0"/>
        <v>294415.41321519634</v>
      </c>
      <c r="O18" s="35">
        <f t="shared" si="1"/>
        <v>0.16943290906633776</v>
      </c>
      <c r="P18" s="36">
        <f>'With Loan'!$D$38</f>
        <v>144804.32345245889</v>
      </c>
      <c r="Q18" s="37">
        <f>'With Loan'!$H$31</f>
        <v>3.7499999999999999E-2</v>
      </c>
      <c r="R18" s="38">
        <f>'With Loan'!$D$24</f>
        <v>381000</v>
      </c>
      <c r="S18" s="38">
        <f>'With Loan'!$D$40</f>
        <v>247650</v>
      </c>
      <c r="T18" s="39">
        <f t="shared" si="2"/>
        <v>211628.10025291331</v>
      </c>
      <c r="U18" s="39">
        <f>S18-_xlfn.XLOOKUP($M18*12,'30% Down Amortization'!$A$4:$A$363,'30% Down Amortization'!$E$4:$E$363,0,0,1)</f>
        <v>71574.482654302992</v>
      </c>
      <c r="V18" s="39">
        <f>(R18+T18)*'With Loan'!$H$36</f>
        <v>41483.967017703937</v>
      </c>
      <c r="W18" s="36">
        <f>'With Loan'!$I$27*'With Loan'!$M18</f>
        <v>52696.797325683918</v>
      </c>
      <c r="X18" s="34">
        <f t="shared" si="4"/>
        <v>4391.3997771403265</v>
      </c>
      <c r="Y18" s="80">
        <f>IF($H$32=$M18,R18+T18-V18-_xlfn.XLOOKUP(M18*12,'30% Down Amortization'!$A$4:$A$363,'30% Down Amortization'!$E$4:$E$363,0,0,1),0)</f>
        <v>0</v>
      </c>
      <c r="Z18" s="70">
        <f t="shared" si="3"/>
        <v>4391.3997771403265</v>
      </c>
    </row>
    <row r="19" spans="1:27" ht="14.25" customHeight="1" x14ac:dyDescent="0.25">
      <c r="A19" s="10"/>
      <c r="B19" s="43"/>
      <c r="C19" s="43"/>
      <c r="D19" s="44"/>
      <c r="E19" s="45"/>
      <c r="F19" s="43"/>
      <c r="G19" s="43"/>
      <c r="H19" s="43"/>
      <c r="I19" s="43"/>
      <c r="M19" s="30">
        <v>13</v>
      </c>
      <c r="N19" s="34">
        <f t="shared" si="0"/>
        <v>326794.11466890236</v>
      </c>
      <c r="O19" s="35">
        <f t="shared" si="1"/>
        <v>0.17359984993084773</v>
      </c>
      <c r="P19" s="36">
        <f>'With Loan'!$D$38</f>
        <v>144804.32345245889</v>
      </c>
      <c r="Q19" s="37">
        <f>'With Loan'!$H$31</f>
        <v>3.7499999999999999E-2</v>
      </c>
      <c r="R19" s="38">
        <f>'With Loan'!$D$24</f>
        <v>381000</v>
      </c>
      <c r="S19" s="38">
        <f>'With Loan'!$D$40</f>
        <v>247650</v>
      </c>
      <c r="T19" s="39">
        <f t="shared" si="2"/>
        <v>233851.65401239751</v>
      </c>
      <c r="U19" s="39">
        <f>S19-_xlfn.XLOOKUP($M19*12,'30% Down Amortization'!$A$4:$A$363,'30% Down Amortization'!$E$4:$E$363,0,0,1)</f>
        <v>78893.87933454843</v>
      </c>
      <c r="V19" s="39">
        <f>(R19+T19)*'With Loan'!$H$36</f>
        <v>43039.615780867833</v>
      </c>
      <c r="W19" s="36">
        <f>'With Loan'!$I$27*'With Loan'!$M19</f>
        <v>57088.197102824241</v>
      </c>
      <c r="X19" s="34">
        <f t="shared" si="4"/>
        <v>4391.3997771403265</v>
      </c>
      <c r="Y19" s="80">
        <f>IF($H$32=$M19,R19+T19-V19-_xlfn.XLOOKUP(M19*12,'30% Down Amortization'!$A$4:$A$363,'30% Down Amortization'!$E$4:$E$363,0,0,1),0)</f>
        <v>0</v>
      </c>
      <c r="Z19" s="70">
        <f t="shared" si="3"/>
        <v>4391.3997771403265</v>
      </c>
    </row>
    <row r="20" spans="1:27" ht="14.25" customHeight="1" x14ac:dyDescent="0.25">
      <c r="A20" s="10"/>
      <c r="B20" s="43"/>
      <c r="C20" s="43"/>
      <c r="D20" s="44"/>
      <c r="E20" s="45"/>
      <c r="F20" s="43"/>
      <c r="G20" s="43"/>
      <c r="H20" s="43"/>
      <c r="I20" s="43"/>
      <c r="M20" s="30">
        <v>14</v>
      </c>
      <c r="N20" s="34">
        <f t="shared" si="0"/>
        <v>360189.31856380322</v>
      </c>
      <c r="O20" s="35">
        <f t="shared" si="1"/>
        <v>0.17767293030646186</v>
      </c>
      <c r="P20" s="36">
        <f>'With Loan'!$D$38</f>
        <v>144804.32345245889</v>
      </c>
      <c r="Q20" s="37">
        <f>'With Loan'!$H$31</f>
        <v>3.7499999999999999E-2</v>
      </c>
      <c r="R20" s="38">
        <f>'With Loan'!$D$24</f>
        <v>381000</v>
      </c>
      <c r="S20" s="38">
        <f>'With Loan'!$D$40</f>
        <v>247650</v>
      </c>
      <c r="T20" s="39">
        <f t="shared" si="2"/>
        <v>256908.59103786247</v>
      </c>
      <c r="U20" s="39">
        <f>S20-_xlfn.XLOOKUP($M20*12,'30% Down Amortization'!$A$4:$A$363,'30% Down Amortization'!$E$4:$E$363,0,0,1)</f>
        <v>86454.732018626499</v>
      </c>
      <c r="V20" s="39">
        <f>(R20+T20)*'With Loan'!$H$36</f>
        <v>44653.601372650381</v>
      </c>
      <c r="W20" s="36">
        <f>'With Loan'!$I$27*'With Loan'!$M20</f>
        <v>61479.596879964571</v>
      </c>
      <c r="X20" s="34">
        <f t="shared" si="4"/>
        <v>4391.3997771403265</v>
      </c>
      <c r="Y20" s="80">
        <f>IF($H$32=$M20,R20+T20-V20-_xlfn.XLOOKUP(M20*12,'30% Down Amortization'!$A$4:$A$363,'30% Down Amortization'!$E$4:$E$363,0,0,1),0)</f>
        <v>0</v>
      </c>
      <c r="Z20" s="70">
        <f t="shared" si="3"/>
        <v>4391.3997771403265</v>
      </c>
    </row>
    <row r="21" spans="1:27" ht="14.25" customHeight="1" x14ac:dyDescent="0.25">
      <c r="A21" s="10"/>
      <c r="B21" s="43"/>
      <c r="C21" s="43"/>
      <c r="D21" s="44"/>
      <c r="E21" s="45"/>
      <c r="F21" s="43"/>
      <c r="G21" s="43"/>
      <c r="H21" s="43"/>
      <c r="I21" s="43"/>
      <c r="M21" s="40">
        <v>15</v>
      </c>
      <c r="N21" s="34">
        <f t="shared" si="0"/>
        <v>394638.0544155339</v>
      </c>
      <c r="O21" s="35">
        <f t="shared" si="1"/>
        <v>0.18168797036187881</v>
      </c>
      <c r="P21" s="36">
        <f>'With Loan'!$D$38</f>
        <v>144804.32345245889</v>
      </c>
      <c r="Q21" s="37">
        <f>'With Loan'!$H$31</f>
        <v>3.7499999999999999E-2</v>
      </c>
      <c r="R21" s="38">
        <f>'With Loan'!$D$24</f>
        <v>381000</v>
      </c>
      <c r="S21" s="38">
        <f>'With Loan'!$D$40</f>
        <v>247650</v>
      </c>
      <c r="T21" s="41">
        <f t="shared" si="2"/>
        <v>280830.16320178239</v>
      </c>
      <c r="U21" s="41">
        <f>S21-_xlfn.XLOOKUP($M21*12,'30% Down Amortization'!$A$4:$A$363,'30% Down Amortization'!$E$4:$E$363,0,0,1)</f>
        <v>94265.005980771413</v>
      </c>
      <c r="V21" s="39">
        <f>(R21+T21)*'With Loan'!$H$36</f>
        <v>46328.111424124771</v>
      </c>
      <c r="W21" s="36">
        <f>'With Loan'!$I$27*'With Loan'!$M21</f>
        <v>65870.996657104901</v>
      </c>
      <c r="X21" s="34">
        <f t="shared" si="4"/>
        <v>4391.3997771403265</v>
      </c>
      <c r="Y21" s="80">
        <f>IF($H$32=$M21,R21+T21-V21-_xlfn.XLOOKUP(M21*12,'30% Down Amortization'!$A$4:$A$363,'30% Down Amortization'!$E$4:$E$363,0,0,1),0)</f>
        <v>462117.05775842897</v>
      </c>
      <c r="Z21" s="70">
        <f t="shared" si="3"/>
        <v>466508.45753556932</v>
      </c>
      <c r="AA21" s="86"/>
    </row>
    <row r="22" spans="1:27" ht="14.25" customHeight="1" x14ac:dyDescent="0.25">
      <c r="A22" s="10"/>
      <c r="B22" s="43"/>
      <c r="C22" s="43"/>
      <c r="D22" s="44"/>
      <c r="E22" s="45"/>
      <c r="F22" s="43"/>
      <c r="G22" s="43"/>
      <c r="H22" s="43"/>
      <c r="I22" s="43"/>
      <c r="M22" s="30">
        <v>16</v>
      </c>
      <c r="N22" s="34">
        <f t="shared" si="0"/>
        <v>430178.70441132557</v>
      </c>
      <c r="O22" s="35">
        <f t="shared" si="1"/>
        <v>0.18567241905960716</v>
      </c>
      <c r="P22" s="36">
        <f>'With Loan'!$D$38</f>
        <v>144804.32345245889</v>
      </c>
      <c r="Q22" s="37">
        <f>'With Loan'!$H$31</f>
        <v>3.7499999999999999E-2</v>
      </c>
      <c r="R22" s="38">
        <f>'With Loan'!$D$24</f>
        <v>381000</v>
      </c>
      <c r="S22" s="38">
        <f>'With Loan'!$D$40</f>
        <v>247650</v>
      </c>
      <c r="T22" s="39">
        <f t="shared" si="2"/>
        <v>305648.79432184936</v>
      </c>
      <c r="U22" s="39">
        <f>S22-_xlfn.XLOOKUP($M22*12,'30% Down Amortization'!$A$4:$A$363,'30% Down Amortization'!$E$4:$E$363,0,0,1)</f>
        <v>102332.92925776046</v>
      </c>
      <c r="V22" s="39">
        <f>(R22+T22)*'With Loan'!$H$36</f>
        <v>48065.415602529458</v>
      </c>
      <c r="W22" s="36">
        <f>'With Loan'!$I$27*'With Loan'!$M22</f>
        <v>70262.396434245224</v>
      </c>
      <c r="X22" s="34">
        <f t="shared" si="4"/>
        <v>4391.3997771403265</v>
      </c>
      <c r="Y22" s="80">
        <f>IF($H$32=$M22,R22+T22-V22-_xlfn.XLOOKUP(M22*12,'30% Down Amortization'!$A$4:$A$363,'30% Down Amortization'!$E$4:$E$363,0,0,1),0)</f>
        <v>0</v>
      </c>
      <c r="Z22" s="70">
        <f t="shared" si="3"/>
        <v>0</v>
      </c>
    </row>
    <row r="23" spans="1:27" ht="18" x14ac:dyDescent="0.25">
      <c r="A23" s="10"/>
      <c r="B23" s="46" t="s">
        <v>0</v>
      </c>
      <c r="C23" s="46"/>
      <c r="D23" s="47"/>
      <c r="E23" s="48"/>
      <c r="F23" s="49"/>
      <c r="G23" s="46" t="s">
        <v>23</v>
      </c>
      <c r="H23" s="48" t="s">
        <v>11</v>
      </c>
      <c r="I23" s="48" t="s">
        <v>12</v>
      </c>
      <c r="M23" s="30">
        <v>17</v>
      </c>
      <c r="N23" s="34">
        <f t="shared" si="0"/>
        <v>466851.05294973927</v>
      </c>
      <c r="O23" s="35">
        <f t="shared" si="1"/>
        <v>0.189647836399846</v>
      </c>
      <c r="P23" s="36">
        <f>'With Loan'!$D$38</f>
        <v>144804.32345245889</v>
      </c>
      <c r="Q23" s="37">
        <f>'With Loan'!$H$31</f>
        <v>3.7499999999999999E-2</v>
      </c>
      <c r="R23" s="38">
        <f>'With Loan'!$D$24</f>
        <v>381000</v>
      </c>
      <c r="S23" s="38">
        <f>'With Loan'!$D$40</f>
        <v>247650</v>
      </c>
      <c r="T23" s="39">
        <f t="shared" si="2"/>
        <v>331398.12410891871</v>
      </c>
      <c r="U23" s="39">
        <f>S23-_xlfn.XLOOKUP($M23*12,'30% Down Amortization'!$A$4:$A$363,'30% Down Amortization'!$E$4:$E$363,0,0,1)</f>
        <v>110667.00131705942</v>
      </c>
      <c r="V23" s="39">
        <f>(R23+T23)*'With Loan'!$H$36</f>
        <v>49867.868687624315</v>
      </c>
      <c r="W23" s="36">
        <f>'With Loan'!$I$27*'With Loan'!$M23</f>
        <v>74653.796211385546</v>
      </c>
      <c r="X23" s="34">
        <f t="shared" si="4"/>
        <v>4391.3997771403265</v>
      </c>
      <c r="Y23" s="80">
        <f>IF($H$32=$M23,R23+T23-V23-_xlfn.XLOOKUP(M23*12,'30% Down Amortization'!$A$4:$A$363,'30% Down Amortization'!$E$4:$E$363,0,0,1),0)</f>
        <v>0</v>
      </c>
      <c r="Z23" s="70">
        <f t="shared" si="3"/>
        <v>0</v>
      </c>
    </row>
    <row r="24" spans="1:27" x14ac:dyDescent="0.25">
      <c r="A24" s="10"/>
      <c r="B24" s="56" t="s">
        <v>84</v>
      </c>
      <c r="C24" s="56"/>
      <c r="D24" s="61">
        <f>D34</f>
        <v>381000</v>
      </c>
      <c r="E24" s="45"/>
      <c r="F24" s="43"/>
      <c r="G24" s="44" t="s">
        <v>24</v>
      </c>
      <c r="H24" s="50">
        <f>Summary!D11</f>
        <v>2300</v>
      </c>
      <c r="I24" s="53">
        <f>H24*12</f>
        <v>27600</v>
      </c>
      <c r="M24" s="30">
        <v>18</v>
      </c>
      <c r="N24" s="34">
        <f t="shared" si="0"/>
        <v>504696.3379990359</v>
      </c>
      <c r="O24" s="35">
        <f t="shared" si="1"/>
        <v>0.19363154894747561</v>
      </c>
      <c r="P24" s="36">
        <f>'With Loan'!$D$38</f>
        <v>144804.32345245889</v>
      </c>
      <c r="Q24" s="37">
        <f>'With Loan'!$H$31</f>
        <v>3.7499999999999999E-2</v>
      </c>
      <c r="R24" s="38">
        <f>'With Loan'!$D$24</f>
        <v>381000</v>
      </c>
      <c r="S24" s="38">
        <f>'With Loan'!$D$40</f>
        <v>247650</v>
      </c>
      <c r="T24" s="39">
        <f t="shared" si="2"/>
        <v>358113.05376300332</v>
      </c>
      <c r="U24" s="39">
        <f>S24-_xlfn.XLOOKUP($M24*12,'30% Down Amortization'!$A$4:$A$363,'30% Down Amortization'!$E$4:$E$363,0,0,1)</f>
        <v>119276.00201091691</v>
      </c>
      <c r="V24" s="39">
        <f>(R24+T24)*'With Loan'!$H$36</f>
        <v>51737.913763410237</v>
      </c>
      <c r="W24" s="36">
        <f>'With Loan'!$I$27*'With Loan'!$M24</f>
        <v>79045.195988525869</v>
      </c>
      <c r="X24" s="34">
        <f t="shared" si="4"/>
        <v>4391.3997771403265</v>
      </c>
      <c r="Y24" s="80">
        <f>IF($H$32=$M24,R24+T24-V24-_xlfn.XLOOKUP(M24*12,'30% Down Amortization'!$A$4:$A$363,'30% Down Amortization'!$E$4:$E$363,0,0,1),0)</f>
        <v>0</v>
      </c>
      <c r="Z24" s="70">
        <f t="shared" si="3"/>
        <v>0</v>
      </c>
    </row>
    <row r="25" spans="1:27" x14ac:dyDescent="0.25">
      <c r="A25" s="10"/>
      <c r="B25" s="56" t="s">
        <v>89</v>
      </c>
      <c r="C25" s="56"/>
      <c r="D25" s="61">
        <f>I25</f>
        <v>27600</v>
      </c>
      <c r="E25" s="45"/>
      <c r="F25" s="43"/>
      <c r="G25" s="44" t="s">
        <v>133</v>
      </c>
      <c r="H25" s="50">
        <f>H24*1</f>
        <v>2300</v>
      </c>
      <c r="I25" s="53">
        <f t="shared" ref="I25" si="5">H25*12</f>
        <v>27600</v>
      </c>
      <c r="M25" s="30">
        <v>19</v>
      </c>
      <c r="N25" s="34">
        <f t="shared" si="0"/>
        <v>543757.30434108526</v>
      </c>
      <c r="O25" s="35">
        <f t="shared" si="1"/>
        <v>0.19763778324638204</v>
      </c>
      <c r="P25" s="36">
        <f>'With Loan'!$D$38</f>
        <v>144804.32345245889</v>
      </c>
      <c r="Q25" s="37">
        <f>'With Loan'!$H$31</f>
        <v>3.7499999999999999E-2</v>
      </c>
      <c r="R25" s="38">
        <f>'With Loan'!$D$24</f>
        <v>381000</v>
      </c>
      <c r="S25" s="38">
        <f>'With Loan'!$D$40</f>
        <v>247650</v>
      </c>
      <c r="T25" s="39">
        <f t="shared" si="2"/>
        <v>385829.79327911604</v>
      </c>
      <c r="U25" s="39">
        <f>S25-_xlfn.XLOOKUP($M25*12,'30% Down Amortization'!$A$4:$A$363,'30% Down Amortization'!$E$4:$E$363,0,0,1)</f>
        <v>128169.00082584108</v>
      </c>
      <c r="V25" s="39">
        <f>(R25+T25)*'With Loan'!$H$36</f>
        <v>53678.085529538126</v>
      </c>
      <c r="W25" s="36">
        <f>'With Loan'!$I$27*'With Loan'!$M25</f>
        <v>83436.595765666207</v>
      </c>
      <c r="X25" s="34">
        <f t="shared" si="4"/>
        <v>4391.3997771403265</v>
      </c>
      <c r="Y25" s="80">
        <f>IF($H$32=$M25,R25+T25-V25-_xlfn.XLOOKUP(M25*12,'30% Down Amortization'!$A$4:$A$363,'30% Down Amortization'!$E$4:$E$363,0,0,1),0)</f>
        <v>0</v>
      </c>
      <c r="Z25" s="70">
        <f t="shared" si="3"/>
        <v>0</v>
      </c>
    </row>
    <row r="26" spans="1:27" x14ac:dyDescent="0.25">
      <c r="A26" s="10"/>
      <c r="B26" s="56" t="s">
        <v>2</v>
      </c>
      <c r="C26" s="56"/>
      <c r="D26" s="61">
        <f>D38</f>
        <v>144804.32345245889</v>
      </c>
      <c r="E26" s="45"/>
      <c r="F26" s="43"/>
      <c r="G26" s="44" t="s">
        <v>114</v>
      </c>
      <c r="H26" s="50">
        <f>D55</f>
        <v>1934.0500185716394</v>
      </c>
      <c r="I26" s="53">
        <f>E55</f>
        <v>23208.600222859674</v>
      </c>
      <c r="M26" s="30">
        <v>20</v>
      </c>
      <c r="N26" s="34">
        <f t="shared" si="0"/>
        <v>584078.25877019658</v>
      </c>
      <c r="O26" s="35">
        <f t="shared" si="1"/>
        <v>0.20167845988450644</v>
      </c>
      <c r="P26" s="36">
        <f>'With Loan'!$D$38</f>
        <v>144804.32345245889</v>
      </c>
      <c r="Q26" s="37">
        <f>'With Loan'!$H$31</f>
        <v>3.7499999999999999E-2</v>
      </c>
      <c r="R26" s="38">
        <f>'With Loan'!$D$24</f>
        <v>381000</v>
      </c>
      <c r="S26" s="38">
        <f>'With Loan'!$D$40</f>
        <v>247650</v>
      </c>
      <c r="T26" s="39">
        <f t="shared" si="2"/>
        <v>414585.91052708298</v>
      </c>
      <c r="U26" s="39">
        <f>S26-_xlfn.XLOOKUP($M26*12,'30% Down Amortization'!$A$4:$A$363,'30% Down Amortization'!$E$4:$E$363,0,0,1)</f>
        <v>137355.3664372029</v>
      </c>
      <c r="V26" s="39">
        <f>(R26+T26)*'With Loan'!$H$36</f>
        <v>55691.013736895817</v>
      </c>
      <c r="W26" s="36">
        <f>'With Loan'!$I$27*'With Loan'!$M26</f>
        <v>87827.99554280653</v>
      </c>
      <c r="X26" s="34">
        <f t="shared" si="4"/>
        <v>4391.3997771403265</v>
      </c>
      <c r="Y26" s="80">
        <f>IF($H$32=$M26,R26+T26-V26-_xlfn.XLOOKUP(M26*12,'30% Down Amortization'!$A$4:$A$363,'30% Down Amortization'!$E$4:$E$363,0,0,1),0)</f>
        <v>0</v>
      </c>
      <c r="Z26" s="70">
        <f t="shared" si="3"/>
        <v>0</v>
      </c>
    </row>
    <row r="27" spans="1:27" x14ac:dyDescent="0.25">
      <c r="A27" s="10"/>
      <c r="B27" s="56" t="s">
        <v>122</v>
      </c>
      <c r="C27" s="56"/>
      <c r="D27" s="61">
        <f>H27</f>
        <v>365.94998142836062</v>
      </c>
      <c r="E27" s="45"/>
      <c r="F27" s="43"/>
      <c r="G27" s="56" t="s">
        <v>68</v>
      </c>
      <c r="H27" s="58">
        <f>H25-H26</f>
        <v>365.94998142836062</v>
      </c>
      <c r="I27" s="59">
        <f>I25-I26</f>
        <v>4391.3997771403265</v>
      </c>
      <c r="M27" s="30">
        <v>21</v>
      </c>
      <c r="N27" s="34">
        <f t="shared" si="0"/>
        <v>625705.12731879763</v>
      </c>
      <c r="O27" s="35">
        <f t="shared" si="1"/>
        <v>0.20576376134969696</v>
      </c>
      <c r="P27" s="36">
        <f>'With Loan'!$D$38</f>
        <v>144804.32345245889</v>
      </c>
      <c r="Q27" s="37">
        <f>'With Loan'!$H$31</f>
        <v>3.7499999999999999E-2</v>
      </c>
      <c r="R27" s="38">
        <f>'With Loan'!$D$24</f>
        <v>381000</v>
      </c>
      <c r="S27" s="38">
        <f>'With Loan'!$D$40</f>
        <v>247650</v>
      </c>
      <c r="T27" s="39">
        <f t="shared" si="2"/>
        <v>444420.38217184879</v>
      </c>
      <c r="U27" s="39">
        <f>S27-_xlfn.XLOOKUP($M27*12,'30% Down Amortization'!$A$4:$A$363,'30% Down Amortization'!$E$4:$E$363,0,0,1)</f>
        <v>146844.77657903155</v>
      </c>
      <c r="V27" s="39">
        <f>(R27+T27)*'With Loan'!$H$36</f>
        <v>57779.426752029423</v>
      </c>
      <c r="W27" s="36">
        <f>'With Loan'!$I$27*'With Loan'!$M27</f>
        <v>92219.395319946852</v>
      </c>
      <c r="X27" s="34">
        <f t="shared" si="4"/>
        <v>4391.3997771403265</v>
      </c>
      <c r="Y27" s="80">
        <f>IF($H$32=$M27,R27+T27-V27-_xlfn.XLOOKUP(M27*12,'30% Down Amortization'!$A$4:$A$363,'30% Down Amortization'!$E$4:$E$363,0,0,1),0)</f>
        <v>0</v>
      </c>
      <c r="Z27" s="70">
        <f t="shared" si="3"/>
        <v>0</v>
      </c>
    </row>
    <row r="28" spans="1:27" x14ac:dyDescent="0.25">
      <c r="A28" s="10"/>
      <c r="B28" s="56" t="s">
        <v>123</v>
      </c>
      <c r="C28" s="56"/>
      <c r="D28" s="61">
        <f>H28</f>
        <v>480.94998142836062</v>
      </c>
      <c r="E28" s="45"/>
      <c r="F28" s="43"/>
      <c r="G28" s="56" t="s">
        <v>127</v>
      </c>
      <c r="H28" s="58">
        <f>H25-H26+D53+D54</f>
        <v>480.94998142836062</v>
      </c>
      <c r="I28" s="58">
        <f>I25-I26+E53+E54</f>
        <v>5771.3997771403265</v>
      </c>
      <c r="M28" s="30">
        <v>22</v>
      </c>
      <c r="N28" s="34">
        <f t="shared" si="0"/>
        <v>668685.51458454912</v>
      </c>
      <c r="O28" s="35">
        <f t="shared" si="1"/>
        <v>0.2099025456754301</v>
      </c>
      <c r="P28" s="36">
        <f>'With Loan'!$D$38</f>
        <v>144804.32345245889</v>
      </c>
      <c r="Q28" s="37">
        <f>'With Loan'!$H$31</f>
        <v>3.7499999999999999E-2</v>
      </c>
      <c r="R28" s="38">
        <f>'With Loan'!$D$24</f>
        <v>381000</v>
      </c>
      <c r="S28" s="38">
        <f>'With Loan'!$D$40</f>
        <v>247650</v>
      </c>
      <c r="T28" s="39">
        <f t="shared" si="2"/>
        <v>475373.64650329307</v>
      </c>
      <c r="U28" s="39">
        <f>S28-_xlfn.XLOOKUP($M28*12,'30% Down Amortization'!$A$4:$A$363,'30% Down Amortization'!$E$4:$E$363,0,0,1)</f>
        <v>156647.22823939944</v>
      </c>
      <c r="V28" s="39">
        <f>(R28+T28)*'With Loan'!$H$36</f>
        <v>59946.155255230522</v>
      </c>
      <c r="W28" s="36">
        <f>'With Loan'!$I$27*'With Loan'!$M28</f>
        <v>96610.79509708719</v>
      </c>
      <c r="X28" s="34">
        <f t="shared" si="4"/>
        <v>4391.3997771403265</v>
      </c>
      <c r="Y28" s="80">
        <f>IF($H$32=$M28,R28+T28-V28-_xlfn.XLOOKUP(M28*12,'30% Down Amortization'!$A$4:$A$363,'30% Down Amortization'!$E$4:$E$363,0,0,1),0)</f>
        <v>0</v>
      </c>
      <c r="Z28" s="70">
        <f t="shared" si="3"/>
        <v>0</v>
      </c>
    </row>
    <row r="29" spans="1:27" x14ac:dyDescent="0.25">
      <c r="A29" s="10"/>
      <c r="B29" s="56" t="s">
        <v>3</v>
      </c>
      <c r="C29" s="56"/>
      <c r="D29" s="61">
        <f>H39</f>
        <v>394638.0544155339</v>
      </c>
      <c r="E29" s="45"/>
      <c r="F29" s="43"/>
      <c r="G29" s="10"/>
      <c r="H29" s="10"/>
      <c r="I29" s="10"/>
      <c r="M29" s="30">
        <v>23</v>
      </c>
      <c r="N29" s="34">
        <f t="shared" si="0"/>
        <v>713068.76523623045</v>
      </c>
      <c r="O29" s="35">
        <f t="shared" si="1"/>
        <v>0.21410265283314048</v>
      </c>
      <c r="P29" s="36">
        <f>'With Loan'!$D$38</f>
        <v>144804.32345245889</v>
      </c>
      <c r="Q29" s="37">
        <f>'With Loan'!$H$31</f>
        <v>3.7499999999999999E-2</v>
      </c>
      <c r="R29" s="38">
        <f>'With Loan'!$D$24</f>
        <v>381000</v>
      </c>
      <c r="S29" s="38">
        <f>'With Loan'!$D$40</f>
        <v>247650</v>
      </c>
      <c r="T29" s="39">
        <f t="shared" si="2"/>
        <v>507487.65824716655</v>
      </c>
      <c r="U29" s="39">
        <f>S29-_xlfn.XLOOKUP($M29*12,'30% Down Amortization'!$A$4:$A$363,'30% Down Amortization'!$E$4:$E$363,0,0,1)</f>
        <v>166773.04819213814</v>
      </c>
      <c r="V29" s="39">
        <f>(R29+T29)*'With Loan'!$H$36</f>
        <v>62194.136077301664</v>
      </c>
      <c r="W29" s="36">
        <f>'With Loan'!$I$27*'With Loan'!$M29</f>
        <v>101002.19487422751</v>
      </c>
      <c r="X29" s="34">
        <f t="shared" si="4"/>
        <v>4391.3997771403265</v>
      </c>
      <c r="Y29" s="80">
        <f>IF($H$32=$M29,R29+T29-V29-_xlfn.XLOOKUP(M29*12,'30% Down Amortization'!$A$4:$A$363,'30% Down Amortization'!$E$4:$E$363,0,0,1),0)</f>
        <v>0</v>
      </c>
      <c r="Z29" s="70">
        <f t="shared" si="3"/>
        <v>0</v>
      </c>
    </row>
    <row r="30" spans="1:27" ht="18" x14ac:dyDescent="0.25">
      <c r="A30" s="10"/>
      <c r="B30" s="56" t="s">
        <v>4</v>
      </c>
      <c r="C30" s="56"/>
      <c r="D30" s="57">
        <f>H43</f>
        <v>0.18168797036187881</v>
      </c>
      <c r="E30" s="45"/>
      <c r="F30" s="43"/>
      <c r="G30" s="46" t="s">
        <v>25</v>
      </c>
      <c r="H30" s="48"/>
      <c r="I30" s="48"/>
      <c r="M30" s="30">
        <v>24</v>
      </c>
      <c r="N30" s="34">
        <f t="shared" si="0"/>
        <v>758906.02777858253</v>
      </c>
      <c r="O30" s="35">
        <f t="shared" si="1"/>
        <v>0.21837113517647058</v>
      </c>
      <c r="P30" s="36">
        <f>'With Loan'!$D$38</f>
        <v>144804.32345245889</v>
      </c>
      <c r="Q30" s="37">
        <f>'With Loan'!$H$31</f>
        <v>3.7499999999999999E-2</v>
      </c>
      <c r="R30" s="38">
        <f>'With Loan'!$D$24</f>
        <v>381000</v>
      </c>
      <c r="S30" s="38">
        <f>'With Loan'!$D$40</f>
        <v>247650</v>
      </c>
      <c r="T30" s="39">
        <f t="shared" si="2"/>
        <v>540805.9454314356</v>
      </c>
      <c r="U30" s="39">
        <f>S30-_xlfn.XLOOKUP($M30*12,'30% Down Amortization'!$A$4:$A$363,'30% Down Amortization'!$E$4:$E$363,0,0,1)</f>
        <v>177232.90387597965</v>
      </c>
      <c r="V30" s="39">
        <f>(R30+T30)*'With Loan'!$H$36</f>
        <v>64526.416180200496</v>
      </c>
      <c r="W30" s="36">
        <f>'With Loan'!$I$27*'With Loan'!$M30</f>
        <v>105393.59465136784</v>
      </c>
      <c r="X30" s="34">
        <f t="shared" si="4"/>
        <v>4391.3997771403265</v>
      </c>
      <c r="Y30" s="80">
        <f>IF($H$32=$M30,R30+T30-V30-_xlfn.XLOOKUP(M30*12,'30% Down Amortization'!$A$4:$A$363,'30% Down Amortization'!$E$4:$E$363,0,0,1),0)</f>
        <v>0</v>
      </c>
      <c r="Z30" s="70">
        <f t="shared" si="3"/>
        <v>0</v>
      </c>
    </row>
    <row r="31" spans="1:27" x14ac:dyDescent="0.25">
      <c r="A31" s="10"/>
      <c r="B31" s="56" t="s">
        <v>121</v>
      </c>
      <c r="D31" s="57">
        <f>H44</f>
        <v>9.9544858898428679E-2</v>
      </c>
      <c r="F31" s="43"/>
      <c r="G31" s="44" t="s">
        <v>26</v>
      </c>
      <c r="H31" s="62">
        <f>Summary!D12</f>
        <v>3.7499999999999999E-2</v>
      </c>
      <c r="I31" s="45"/>
      <c r="M31" s="30">
        <v>25</v>
      </c>
      <c r="N31" s="34">
        <f t="shared" si="0"/>
        <v>806250.32065924932</v>
      </c>
      <c r="O31" s="35">
        <f t="shared" si="1"/>
        <v>0.22271443322587026</v>
      </c>
      <c r="P31" s="36">
        <f>'With Loan'!$D$38</f>
        <v>144804.32345245889</v>
      </c>
      <c r="Q31" s="37">
        <f>'With Loan'!$H$31</f>
        <v>3.7499999999999999E-2</v>
      </c>
      <c r="R31" s="38">
        <f>'With Loan'!$D$24</f>
        <v>381000</v>
      </c>
      <c r="S31" s="38">
        <f>'With Loan'!$D$40</f>
        <v>247650</v>
      </c>
      <c r="T31" s="39">
        <f t="shared" si="2"/>
        <v>575373.66838511464</v>
      </c>
      <c r="U31" s="39">
        <f>S31-_xlfn.XLOOKUP($M31*12,'30% Down Amortization'!$A$4:$A$363,'30% Down Amortization'!$E$4:$E$363,0,0,1)</f>
        <v>188037.81463258463</v>
      </c>
      <c r="V31" s="39">
        <f>(R31+T31)*'With Loan'!$H$36</f>
        <v>66946.156786958032</v>
      </c>
      <c r="W31" s="36">
        <f>'With Loan'!$I$27*'With Loan'!$M31</f>
        <v>109784.99442850816</v>
      </c>
      <c r="X31" s="34">
        <f t="shared" si="4"/>
        <v>4391.3997771403265</v>
      </c>
      <c r="Y31" s="80">
        <f>IF($H$32=$M31,R31+T31-V31-_xlfn.XLOOKUP(M31*12,'30% Down Amortization'!$A$4:$A$363,'30% Down Amortization'!$E$4:$E$363,0,0,1),0)</f>
        <v>0</v>
      </c>
      <c r="Z31" s="70">
        <f t="shared" si="3"/>
        <v>0</v>
      </c>
    </row>
    <row r="32" spans="1:27" x14ac:dyDescent="0.25">
      <c r="A32" s="10"/>
      <c r="B32" s="56" t="s">
        <v>5</v>
      </c>
      <c r="C32" s="56"/>
      <c r="D32" s="57">
        <f>H45</f>
        <v>4.5472076554680663E-2</v>
      </c>
      <c r="E32" s="45"/>
      <c r="F32" s="43"/>
      <c r="G32" s="44" t="s">
        <v>27</v>
      </c>
      <c r="H32" s="79">
        <f>Summary!D13</f>
        <v>15</v>
      </c>
      <c r="I32" s="45"/>
      <c r="M32" s="30">
        <v>26</v>
      </c>
      <c r="N32" s="34">
        <f t="shared" si="0"/>
        <v>855156.60080403229</v>
      </c>
      <c r="O32" s="35">
        <f t="shared" si="1"/>
        <v>0.22713851153250403</v>
      </c>
      <c r="P32" s="36">
        <f>'With Loan'!$D$38</f>
        <v>144804.32345245889</v>
      </c>
      <c r="Q32" s="37">
        <f>'With Loan'!$H$31</f>
        <v>3.7499999999999999E-2</v>
      </c>
      <c r="R32" s="38">
        <f>'With Loan'!$D$24</f>
        <v>381000</v>
      </c>
      <c r="S32" s="38">
        <f>'With Loan'!$D$40</f>
        <v>247650</v>
      </c>
      <c r="T32" s="39">
        <f t="shared" si="2"/>
        <v>611237.68094955652</v>
      </c>
      <c r="U32" s="39">
        <f>S32-_xlfn.XLOOKUP($M32*12,'30% Down Amortization'!$A$4:$A$363,'30% Down Amortization'!$E$4:$E$363,0,0,1)</f>
        <v>199199.16331529623</v>
      </c>
      <c r="V32" s="39">
        <f>(R32+T32)*'With Loan'!$H$36</f>
        <v>69456.63766646896</v>
      </c>
      <c r="W32" s="36">
        <f>'With Loan'!$I$27*'With Loan'!$M32</f>
        <v>114176.39420564848</v>
      </c>
      <c r="X32" s="34">
        <f t="shared" si="4"/>
        <v>4391.3997771403265</v>
      </c>
      <c r="Y32" s="80">
        <f>IF($H$32=$M32,R32+T32-V32-_xlfn.XLOOKUP(M32*12,'30% Down Amortization'!$A$4:$A$363,'30% Down Amortization'!$E$4:$E$363,0,0,1),0)</f>
        <v>0</v>
      </c>
      <c r="Z32" s="70">
        <f t="shared" si="3"/>
        <v>0</v>
      </c>
    </row>
    <row r="33" spans="1:26" ht="18" x14ac:dyDescent="0.25">
      <c r="A33" s="10"/>
      <c r="B33" s="46" t="s">
        <v>6</v>
      </c>
      <c r="C33" s="46"/>
      <c r="D33" s="47"/>
      <c r="E33" s="48"/>
      <c r="F33" s="43"/>
      <c r="G33" s="56" t="str">
        <f>CONCATENATE("Appreciation After ",H32," Years")</f>
        <v>Appreciation After 15 Years</v>
      </c>
      <c r="H33" s="58">
        <f>$D$34*(1+H31)^H32-$D$34</f>
        <v>280830.16320178239</v>
      </c>
      <c r="I33" s="45" t="s">
        <v>74</v>
      </c>
      <c r="M33" s="30">
        <v>27</v>
      </c>
      <c r="N33" s="34">
        <f t="shared" si="0"/>
        <v>905681.83466984169</v>
      </c>
      <c r="O33" s="35">
        <f t="shared" si="1"/>
        <v>0.23164896499413865</v>
      </c>
      <c r="P33" s="36">
        <f>'With Loan'!$D$38</f>
        <v>144804.32345245889</v>
      </c>
      <c r="Q33" s="37">
        <f>'With Loan'!$H$31</f>
        <v>3.7499999999999999E-2</v>
      </c>
      <c r="R33" s="38">
        <f>'With Loan'!$D$24</f>
        <v>381000</v>
      </c>
      <c r="S33" s="38">
        <f>'With Loan'!$D$40</f>
        <v>247650</v>
      </c>
      <c r="T33" s="39">
        <f t="shared" si="2"/>
        <v>648446.59398516489</v>
      </c>
      <c r="U33" s="39">
        <f>S33-_xlfn.XLOOKUP($M33*12,'30% Down Amortization'!$A$4:$A$363,'30% Down Amortization'!$E$4:$E$363,0,0,1)</f>
        <v>210728.70828084956</v>
      </c>
      <c r="V33" s="39">
        <f>(R33+T33)*'With Loan'!$H$36</f>
        <v>72061.261578961552</v>
      </c>
      <c r="W33" s="36">
        <f>'With Loan'!$I$27*'With Loan'!$M33</f>
        <v>118567.79398278882</v>
      </c>
      <c r="X33" s="34">
        <f t="shared" si="4"/>
        <v>4391.3997771403265</v>
      </c>
      <c r="Y33" s="80">
        <f>IF($H$32=$M33,R33+T33-V33-_xlfn.XLOOKUP(M33*12,'30% Down Amortization'!$A$4:$A$363,'30% Down Amortization'!$E$4:$E$363,0,0,1),0)</f>
        <v>0</v>
      </c>
      <c r="Z33" s="70">
        <f t="shared" si="3"/>
        <v>0</v>
      </c>
    </row>
    <row r="34" spans="1:26" x14ac:dyDescent="0.25">
      <c r="A34" s="10"/>
      <c r="B34" s="44" t="s">
        <v>84</v>
      </c>
      <c r="C34" s="44"/>
      <c r="D34" s="50">
        <f>Summary!D8</f>
        <v>381000</v>
      </c>
      <c r="E34" s="45"/>
      <c r="F34" s="43"/>
      <c r="I34" s="45"/>
      <c r="M34" s="30">
        <v>28</v>
      </c>
      <c r="N34" s="34">
        <f t="shared" si="0"/>
        <v>957885.07190803532</v>
      </c>
      <c r="O34" s="35">
        <f t="shared" si="1"/>
        <v>0.23625110303287547</v>
      </c>
      <c r="P34" s="36">
        <f>'With Loan'!$D$38</f>
        <v>144804.32345245889</v>
      </c>
      <c r="Q34" s="37">
        <f>'With Loan'!$H$31</f>
        <v>3.7499999999999999E-2</v>
      </c>
      <c r="R34" s="38">
        <f>'With Loan'!$D$24</f>
        <v>381000</v>
      </c>
      <c r="S34" s="38">
        <f>'With Loan'!$D$40</f>
        <v>247650</v>
      </c>
      <c r="T34" s="39">
        <f t="shared" si="2"/>
        <v>687050.84125960898</v>
      </c>
      <c r="U34" s="39">
        <f>S34-_xlfn.XLOOKUP($M34*12,'30% Down Amortization'!$A$4:$A$363,'30% Down Amortization'!$E$4:$E$363,0,0,1)</f>
        <v>222638.5957766698</v>
      </c>
      <c r="V34" s="39">
        <f>(R34+T34)*'With Loan'!$H$36</f>
        <v>74763.558888172629</v>
      </c>
      <c r="W34" s="36">
        <f>'With Loan'!$I$27*'With Loan'!$M34</f>
        <v>122959.19375992914</v>
      </c>
      <c r="X34" s="34">
        <f t="shared" si="4"/>
        <v>4391.3997771403265</v>
      </c>
      <c r="Y34" s="80">
        <f>IF($H$32=$M34,R34+T34-V34-_xlfn.XLOOKUP(M34*12,'30% Down Amortization'!$A$4:$A$363,'30% Down Amortization'!$E$4:$E$363,0,0,1),0)</f>
        <v>0</v>
      </c>
      <c r="Z34" s="70">
        <f t="shared" si="3"/>
        <v>0</v>
      </c>
    </row>
    <row r="35" spans="1:26" x14ac:dyDescent="0.25">
      <c r="A35" s="10"/>
      <c r="B35" s="44" t="s">
        <v>8</v>
      </c>
      <c r="C35" s="81">
        <f>Summary!D9</f>
        <v>0.35</v>
      </c>
      <c r="D35" s="52">
        <f>C35*D34</f>
        <v>133350</v>
      </c>
      <c r="E35" s="45"/>
      <c r="F35" s="43"/>
      <c r="G35" s="56" t="s">
        <v>30</v>
      </c>
      <c r="H35" s="58">
        <f>D40-_xlfn.XLOOKUP($H$32*12,'30% Down Amortization'!$A$4:$A$363,'30% Down Amortization'!$E$4:$E$363,0,0,1)</f>
        <v>94265.005980771413</v>
      </c>
      <c r="I35" s="71"/>
      <c r="M35" s="30">
        <v>29</v>
      </c>
      <c r="N35" s="34">
        <f t="shared" si="0"/>
        <v>1011827.5217342433</v>
      </c>
      <c r="O35" s="35">
        <f t="shared" si="1"/>
        <v>0.24095001700130561</v>
      </c>
      <c r="P35" s="36">
        <f>'With Loan'!$D$38</f>
        <v>144804.32345245889</v>
      </c>
      <c r="Q35" s="37">
        <f>'With Loan'!$H$31</f>
        <v>3.7499999999999999E-2</v>
      </c>
      <c r="R35" s="38">
        <f>'With Loan'!$D$24</f>
        <v>381000</v>
      </c>
      <c r="S35" s="38">
        <f>'With Loan'!$D$40</f>
        <v>247650</v>
      </c>
      <c r="T35" s="39">
        <f t="shared" si="2"/>
        <v>727102.74780684407</v>
      </c>
      <c r="U35" s="39">
        <f>S35-_xlfn.XLOOKUP($M35*12,'30% Down Amortization'!$A$4:$A$363,'30% Down Amortization'!$E$4:$E$363,0,0,1)</f>
        <v>234941.37273680867</v>
      </c>
      <c r="V35" s="39">
        <f>(R35+T35)*'With Loan'!$H$36</f>
        <v>77567.192346479089</v>
      </c>
      <c r="W35" s="36">
        <f>'With Loan'!$I$27*'With Loan'!$M35</f>
        <v>127350.59353706946</v>
      </c>
      <c r="X35" s="34">
        <f t="shared" si="4"/>
        <v>4391.3997771403265</v>
      </c>
      <c r="Y35" s="80">
        <f>IF($H$32=$M35,R35+T35-V35-_xlfn.XLOOKUP(M35*12,'30% Down Amortization'!$A$4:$A$363,'30% Down Amortization'!$E$4:$E$363,0,0,1),0)</f>
        <v>0</v>
      </c>
      <c r="Z35" s="70">
        <f t="shared" si="3"/>
        <v>0</v>
      </c>
    </row>
    <row r="36" spans="1:26" x14ac:dyDescent="0.25">
      <c r="A36" s="10"/>
      <c r="B36" s="44" t="s">
        <v>85</v>
      </c>
      <c r="C36" s="44"/>
      <c r="D36" s="52">
        <f>'Closing Costs'!C28</f>
        <v>11454.323452458904</v>
      </c>
      <c r="E36" s="60"/>
      <c r="F36" s="43"/>
      <c r="G36" s="44" t="s">
        <v>31</v>
      </c>
      <c r="H36" s="51">
        <v>7.0000000000000007E-2</v>
      </c>
      <c r="I36" s="45"/>
      <c r="M36" s="30">
        <v>30</v>
      </c>
      <c r="N36" s="34">
        <f t="shared" si="0"/>
        <v>1067572.6321043391</v>
      </c>
      <c r="O36" s="35">
        <f t="shared" si="1"/>
        <v>0.2457506347533969</v>
      </c>
      <c r="P36" s="36">
        <f>'With Loan'!$D$38</f>
        <v>144804.32345245889</v>
      </c>
      <c r="Q36" s="37">
        <f>'With Loan'!$H$31</f>
        <v>3.7499999999999999E-2</v>
      </c>
      <c r="R36" s="38">
        <f>'With Loan'!$D$24</f>
        <v>381000</v>
      </c>
      <c r="S36" s="38">
        <f>'With Loan'!$D$40</f>
        <v>247650</v>
      </c>
      <c r="T36" s="39">
        <f t="shared" si="2"/>
        <v>768656.60084960097</v>
      </c>
      <c r="U36" s="39">
        <f>S36-_xlfn.XLOOKUP($M36*12,'30% Down Amortization'!$A$4:$A$363,'30% Down Amortization'!$E$4:$E$363,0,0,1)</f>
        <v>247650.00000000015</v>
      </c>
      <c r="V36" s="39">
        <f>(R36+T36)*'With Loan'!$H$36</f>
        <v>80475.962059472076</v>
      </c>
      <c r="W36" s="36">
        <f>'With Loan'!$I$27*'With Loan'!$M36</f>
        <v>131741.9933142098</v>
      </c>
      <c r="X36" s="34">
        <f t="shared" si="4"/>
        <v>4391.3997771403265</v>
      </c>
      <c r="Y36" s="80">
        <f>IF($H$32=$M36,R36+T36-V36-_xlfn.XLOOKUP(M36*12,'30% Down Amortization'!$A$4:$A$363,'30% Down Amortization'!$E$4:$E$363,0,0,1),0)</f>
        <v>0</v>
      </c>
      <c r="Z36" s="70">
        <f t="shared" si="3"/>
        <v>0</v>
      </c>
    </row>
    <row r="37" spans="1:26" x14ac:dyDescent="0.25">
      <c r="A37" s="10"/>
      <c r="B37" s="44" t="s">
        <v>9</v>
      </c>
      <c r="C37" s="44"/>
      <c r="D37" s="50">
        <v>0</v>
      </c>
      <c r="E37" s="45"/>
      <c r="F37" s="43"/>
      <c r="G37" s="44" t="s">
        <v>32</v>
      </c>
      <c r="H37" s="52">
        <f>(D34+H33)*$H$36</f>
        <v>46328.111424124771</v>
      </c>
      <c r="I37" s="45"/>
      <c r="N37" s="34"/>
      <c r="Z37" s="70"/>
    </row>
    <row r="38" spans="1:26" x14ac:dyDescent="0.25">
      <c r="A38" s="10"/>
      <c r="B38" s="56" t="s">
        <v>2</v>
      </c>
      <c r="C38" s="56"/>
      <c r="D38" s="61">
        <f>SUM(D35:D37)</f>
        <v>144804.32345245889</v>
      </c>
      <c r="E38" s="45"/>
      <c r="F38" s="43"/>
      <c r="G38" s="56" t="s">
        <v>28</v>
      </c>
      <c r="H38" s="64">
        <f>H32*I27</f>
        <v>65870.996657104901</v>
      </c>
      <c r="I38" s="45"/>
      <c r="Z38" s="70"/>
    </row>
    <row r="39" spans="1:26" ht="18" x14ac:dyDescent="0.25">
      <c r="A39" s="10"/>
      <c r="B39" s="46" t="s">
        <v>10</v>
      </c>
      <c r="C39" s="46"/>
      <c r="D39" s="48" t="s">
        <v>11</v>
      </c>
      <c r="E39" s="48" t="s">
        <v>12</v>
      </c>
      <c r="F39" s="43"/>
      <c r="G39" s="56" t="s">
        <v>3</v>
      </c>
      <c r="H39" s="58">
        <f>H38+H33+H35-H37</f>
        <v>394638.0544155339</v>
      </c>
      <c r="I39" s="45"/>
      <c r="Z39" s="70"/>
    </row>
    <row r="40" spans="1:26" x14ac:dyDescent="0.25">
      <c r="A40" s="10"/>
      <c r="B40" s="44" t="s">
        <v>13</v>
      </c>
      <c r="C40" s="44"/>
      <c r="D40" s="52">
        <f>D34-D35</f>
        <v>247650</v>
      </c>
      <c r="E40" s="45"/>
      <c r="F40" s="43"/>
      <c r="I40" s="45"/>
      <c r="Z40" s="70"/>
    </row>
    <row r="41" spans="1:26" x14ac:dyDescent="0.25">
      <c r="A41" s="10"/>
      <c r="B41" s="44" t="s">
        <v>82</v>
      </c>
      <c r="C41" s="44"/>
      <c r="D41" s="63">
        <f>Summary!D10</f>
        <v>3.2500000000000001E-2</v>
      </c>
      <c r="E41" s="45"/>
      <c r="F41" s="43"/>
      <c r="G41" s="56" t="s">
        <v>117</v>
      </c>
      <c r="H41" s="65">
        <f>((H38/D38)/H32)</f>
        <v>3.0326441037391256E-2</v>
      </c>
      <c r="I41" s="45"/>
      <c r="Z41" s="70"/>
    </row>
    <row r="42" spans="1:26" x14ac:dyDescent="0.25">
      <c r="A42" s="10"/>
      <c r="B42" s="44" t="s">
        <v>14</v>
      </c>
      <c r="C42" s="44"/>
      <c r="D42" s="55">
        <v>30</v>
      </c>
      <c r="E42" s="45"/>
      <c r="F42" s="43"/>
      <c r="G42" s="56" t="s">
        <v>118</v>
      </c>
      <c r="H42" s="65">
        <f>((I28*H32)/D38)/H32</f>
        <v>3.9856543227006276E-2</v>
      </c>
      <c r="I42" s="45"/>
      <c r="Z42" s="70"/>
    </row>
    <row r="43" spans="1:26" x14ac:dyDescent="0.25">
      <c r="A43" s="10"/>
      <c r="B43" s="56" t="s">
        <v>15</v>
      </c>
      <c r="C43" s="56"/>
      <c r="D43" s="61">
        <f>-PMT(D41/12,D42*12,$D$40,0,0)</f>
        <v>1077.7884491827506</v>
      </c>
      <c r="E43" s="59">
        <f>D43*12</f>
        <v>12933.461390193006</v>
      </c>
      <c r="F43" s="43"/>
      <c r="G43" s="56" t="s">
        <v>4</v>
      </c>
      <c r="H43" s="65">
        <f>H39/D38/H32</f>
        <v>0.18168797036187881</v>
      </c>
      <c r="I43" s="45"/>
    </row>
    <row r="44" spans="1:26" ht="18" x14ac:dyDescent="0.25">
      <c r="A44" s="10"/>
      <c r="B44" s="46" t="s">
        <v>113</v>
      </c>
      <c r="C44" s="46"/>
      <c r="D44" s="48" t="s">
        <v>11</v>
      </c>
      <c r="E44" s="48" t="s">
        <v>12</v>
      </c>
      <c r="F44" s="43"/>
      <c r="G44" s="56" t="s">
        <v>121</v>
      </c>
      <c r="H44" s="65">
        <f>IRR(Z6:Z36)</f>
        <v>9.9544858898428679E-2</v>
      </c>
      <c r="I44" s="45"/>
    </row>
    <row r="45" spans="1:26" x14ac:dyDescent="0.25">
      <c r="A45" s="10"/>
      <c r="B45" s="44" t="s">
        <v>16</v>
      </c>
      <c r="C45" s="44"/>
      <c r="D45" s="52">
        <f>D43</f>
        <v>1077.7884491827506</v>
      </c>
      <c r="E45" s="53">
        <f>E43</f>
        <v>12933.461390193006</v>
      </c>
      <c r="F45" s="43"/>
      <c r="G45" s="56" t="s">
        <v>5</v>
      </c>
      <c r="H45" s="65">
        <f>(I25-E55+E45)/D34</f>
        <v>4.5472076554680663E-2</v>
      </c>
    </row>
    <row r="46" spans="1:26" x14ac:dyDescent="0.25">
      <c r="A46" s="10"/>
      <c r="B46" s="44" t="s">
        <v>17</v>
      </c>
      <c r="C46" s="82">
        <v>2.0030539999999999E-2</v>
      </c>
      <c r="D46" s="52">
        <f>C46*0.9*D34/12</f>
        <v>572.3726805</v>
      </c>
      <c r="E46" s="53">
        <f>D46*12</f>
        <v>6868.4721659999996</v>
      </c>
      <c r="F46" s="43"/>
      <c r="G46" s="10"/>
      <c r="H46" s="10"/>
      <c r="I46" s="10"/>
    </row>
    <row r="47" spans="1:26" ht="18" x14ac:dyDescent="0.25">
      <c r="A47" s="10"/>
      <c r="B47" s="44" t="s">
        <v>19</v>
      </c>
      <c r="C47" s="44"/>
      <c r="D47" s="50">
        <v>105</v>
      </c>
      <c r="E47" s="53">
        <f>D47*12</f>
        <v>1260</v>
      </c>
      <c r="F47" s="43"/>
      <c r="G47" s="46" t="s">
        <v>33</v>
      </c>
      <c r="H47" s="48"/>
      <c r="I47" s="48"/>
    </row>
    <row r="48" spans="1:26" x14ac:dyDescent="0.25">
      <c r="A48" s="10"/>
      <c r="B48" s="56" t="s">
        <v>125</v>
      </c>
      <c r="C48" s="44"/>
      <c r="D48" s="20">
        <f>SUM(D45:D47)</f>
        <v>1755.1611296827505</v>
      </c>
      <c r="E48" s="20">
        <f>SUM(E45:E47)</f>
        <v>21061.933556193006</v>
      </c>
      <c r="F48" s="43"/>
      <c r="G48" s="56" t="s">
        <v>87</v>
      </c>
      <c r="H48" s="66"/>
      <c r="I48" s="58">
        <f>(D34-68000)/27.5</f>
        <v>11381.818181818182</v>
      </c>
    </row>
    <row r="49" spans="1:9" x14ac:dyDescent="0.25">
      <c r="A49" s="10"/>
      <c r="B49" s="10"/>
      <c r="C49" s="10"/>
      <c r="D49" s="17"/>
      <c r="E49" s="16"/>
      <c r="F49" s="43"/>
      <c r="G49" s="10"/>
      <c r="H49" s="10"/>
      <c r="I49" s="10"/>
    </row>
    <row r="50" spans="1:9" ht="18" x14ac:dyDescent="0.25">
      <c r="A50" s="10"/>
      <c r="B50" s="44" t="s">
        <v>144</v>
      </c>
      <c r="C50" s="44"/>
      <c r="D50" s="50">
        <v>0</v>
      </c>
      <c r="E50" s="53">
        <f>D50*12</f>
        <v>0</v>
      </c>
      <c r="F50" s="43"/>
      <c r="G50" s="46" t="s">
        <v>34</v>
      </c>
      <c r="H50" s="48"/>
      <c r="I50" s="48"/>
    </row>
    <row r="51" spans="1:9" x14ac:dyDescent="0.25">
      <c r="A51" s="10"/>
      <c r="B51" s="44" t="s">
        <v>145</v>
      </c>
      <c r="C51" s="81">
        <v>0.06</v>
      </c>
      <c r="D51" s="52">
        <v>0</v>
      </c>
      <c r="E51" s="53">
        <f>D51*12</f>
        <v>0</v>
      </c>
      <c r="F51" s="43"/>
      <c r="G51" s="44" t="s">
        <v>35</v>
      </c>
      <c r="H51" s="44"/>
      <c r="I51" s="67">
        <v>6</v>
      </c>
    </row>
    <row r="52" spans="1:9" x14ac:dyDescent="0.25">
      <c r="A52" s="10"/>
      <c r="B52" s="44" t="s">
        <v>126</v>
      </c>
      <c r="C52" s="81">
        <v>0.5</v>
      </c>
      <c r="D52" s="52">
        <f>(C52*H25)/18</f>
        <v>63.888888888888886</v>
      </c>
      <c r="E52" s="53">
        <f>D52*12</f>
        <v>766.66666666666663</v>
      </c>
      <c r="F52" s="43"/>
      <c r="G52" s="56" t="s">
        <v>34</v>
      </c>
      <c r="H52" s="68"/>
      <c r="I52" s="58">
        <f>MIN((D55-D51-D53),3500)*I51</f>
        <v>11190.300111429837</v>
      </c>
    </row>
    <row r="53" spans="1:9" x14ac:dyDescent="0.25">
      <c r="A53" s="10"/>
      <c r="B53" s="44" t="s">
        <v>20</v>
      </c>
      <c r="C53" s="81">
        <v>0.03</v>
      </c>
      <c r="D53" s="52">
        <f>C53*H25</f>
        <v>69</v>
      </c>
      <c r="E53" s="53">
        <f>D53*12</f>
        <v>828</v>
      </c>
      <c r="F53" s="43"/>
      <c r="G53" s="10"/>
      <c r="H53" s="10"/>
      <c r="I53" s="10"/>
    </row>
    <row r="54" spans="1:9" x14ac:dyDescent="0.25">
      <c r="A54" s="10"/>
      <c r="B54" s="44" t="s">
        <v>21</v>
      </c>
      <c r="C54" s="81">
        <v>0.02</v>
      </c>
      <c r="D54" s="52">
        <f>C54*H25</f>
        <v>46</v>
      </c>
      <c r="E54" s="53">
        <f>D54*12</f>
        <v>552</v>
      </c>
      <c r="F54" s="43"/>
      <c r="G54" s="10"/>
      <c r="H54" s="10"/>
      <c r="I54" s="10"/>
    </row>
    <row r="55" spans="1:9" x14ac:dyDescent="0.25">
      <c r="A55" s="10"/>
      <c r="B55" s="56" t="s">
        <v>114</v>
      </c>
      <c r="C55" s="56"/>
      <c r="D55" s="58">
        <f>SUM(D48:D54)</f>
        <v>1934.0500185716394</v>
      </c>
      <c r="E55" s="58">
        <f>SUM(E48:E54)</f>
        <v>23208.600222859674</v>
      </c>
      <c r="F55" s="43"/>
      <c r="G55" s="10"/>
      <c r="H55" s="10"/>
      <c r="I55" s="10"/>
    </row>
    <row r="56" spans="1:9" x14ac:dyDescent="0.25">
      <c r="A56" s="10"/>
      <c r="B56" s="10"/>
      <c r="C56" s="10"/>
      <c r="D56" s="17"/>
      <c r="E56" s="16"/>
      <c r="F56" s="43"/>
      <c r="G56" s="10"/>
      <c r="H56" s="10"/>
      <c r="I56" s="10"/>
    </row>
    <row r="57" spans="1:9" x14ac:dyDescent="0.25">
      <c r="A57" s="10"/>
      <c r="B57" s="44"/>
      <c r="C57" s="44"/>
      <c r="D57" s="50"/>
      <c r="E57" s="53"/>
      <c r="F57" s="43"/>
      <c r="G57" s="10"/>
      <c r="H57" s="10"/>
      <c r="I57" s="10"/>
    </row>
    <row r="58" spans="1:9" x14ac:dyDescent="0.25">
      <c r="A58" s="10"/>
      <c r="B58" s="18" t="s">
        <v>69</v>
      </c>
      <c r="C58" s="18"/>
      <c r="D58" s="17"/>
      <c r="E58" s="16"/>
      <c r="F58" s="10"/>
      <c r="G58" s="10"/>
      <c r="H58" s="10"/>
      <c r="I58" s="10"/>
    </row>
    <row r="59" spans="1:9" ht="55.9" customHeight="1" x14ac:dyDescent="0.25">
      <c r="A59" s="10"/>
      <c r="B59" s="112" t="s">
        <v>142</v>
      </c>
      <c r="C59" s="112"/>
      <c r="D59" s="112"/>
      <c r="E59" s="112"/>
      <c r="F59" s="112"/>
      <c r="G59" s="112"/>
      <c r="H59" s="112"/>
      <c r="I59" s="112"/>
    </row>
    <row r="60" spans="1:9" ht="18" x14ac:dyDescent="0.25">
      <c r="A60" s="10"/>
      <c r="B60" s="111" t="s">
        <v>71</v>
      </c>
      <c r="C60" s="111"/>
      <c r="D60" s="111"/>
      <c r="E60" s="111"/>
      <c r="F60" s="111"/>
      <c r="G60" s="111"/>
      <c r="H60" s="111"/>
      <c r="I60" s="111"/>
    </row>
    <row r="61" spans="1:9" x14ac:dyDescent="0.25">
      <c r="F61" s="10"/>
    </row>
    <row r="62" spans="1:9" x14ac:dyDescent="0.25">
      <c r="F62" s="10"/>
    </row>
    <row r="63" spans="1:9" x14ac:dyDescent="0.25">
      <c r="F63" s="10"/>
    </row>
    <row r="64" spans="1:9" x14ac:dyDescent="0.25">
      <c r="F64" s="10"/>
    </row>
    <row r="65" spans="6:6" x14ac:dyDescent="0.25">
      <c r="F65" s="10"/>
    </row>
    <row r="66" spans="6:6" x14ac:dyDescent="0.25">
      <c r="F66" s="10"/>
    </row>
    <row r="67" spans="6:6" x14ac:dyDescent="0.25">
      <c r="F67" s="10"/>
    </row>
    <row r="68" spans="6:6" x14ac:dyDescent="0.25">
      <c r="F68" s="10"/>
    </row>
  </sheetData>
  <sheetProtection selectLockedCells="1"/>
  <mergeCells count="6">
    <mergeCell ref="B60:I60"/>
    <mergeCell ref="B3:I3"/>
    <mergeCell ref="B1:I1"/>
    <mergeCell ref="B2:I2"/>
    <mergeCell ref="B4:I4"/>
    <mergeCell ref="B59:I59"/>
  </mergeCells>
  <pageMargins left="0.7" right="0.7" top="0.75" bottom="0.75" header="0.3" footer="0.3"/>
  <pageSetup scale="57"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F8CF3207-B10D-4B80-8F02-1AE1D0E2196C}">
          <x14:formula1>
            <xm:f>DAta!$H$2:$H$7</xm:f>
          </x14:formula1>
          <xm:sqref>I51</xm:sqref>
        </x14:dataValidation>
        <x14:dataValidation type="list" allowBlank="1" showInputMessage="1" showErrorMessage="1" xr:uid="{6C9A5CE5-8D98-4AF3-AEA5-695A66A1EFAD}">
          <x14:formula1>
            <xm:f>DAta!$F$2:$F$12</xm:f>
          </x14:formula1>
          <xm:sqref>C51</xm:sqref>
        </x14:dataValidation>
        <x14:dataValidation type="list" allowBlank="1" showInputMessage="1" showErrorMessage="1" xr:uid="{C774F02B-450C-43D8-B02E-BCEC7076DE27}">
          <x14:formula1>
            <xm:f>DAta!$H$2:$H$31</xm:f>
          </x14:formula1>
          <xm:sqref>H32</xm:sqref>
        </x14:dataValidation>
        <x14:dataValidation type="list" allowBlank="1" showInputMessage="1" showErrorMessage="1" xr:uid="{9B0933B4-BBD2-4ED5-9A4E-2C7FD8C4978D}">
          <x14:formula1>
            <xm:f>DAta!$E$2:$E$11</xm:f>
          </x14:formula1>
          <xm:sqref>C54</xm:sqref>
        </x14:dataValidation>
        <x14:dataValidation type="list" allowBlank="1" showInputMessage="1" showErrorMessage="1" xr:uid="{DC98E49C-C163-443E-86C2-D08DE089F76A}">
          <x14:formula1>
            <xm:f>DAta!$C$2:$C$11</xm:f>
          </x14:formula1>
          <xm:sqref>C53</xm:sqref>
        </x14:dataValidation>
        <x14:dataValidation type="list" allowBlank="1" showInputMessage="1" showErrorMessage="1" xr:uid="{F6E919F1-45C0-410C-AAAD-2EF75E7F6EAE}">
          <x14:formula1>
            <xm:f>DAta!$A$2:$A$23</xm:f>
          </x14:formula1>
          <xm:sqref>C35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FD3F3-A1E6-45C1-8DCD-77FB45BCDC03}">
  <sheetPr>
    <pageSetUpPr fitToPage="1"/>
  </sheetPr>
  <dimension ref="A1:Z69"/>
  <sheetViews>
    <sheetView zoomScale="85" zoomScaleNormal="85" workbookViewId="0">
      <selection activeCell="B1" sqref="B1:I1"/>
    </sheetView>
  </sheetViews>
  <sheetFormatPr defaultRowHeight="15" x14ac:dyDescent="0.25"/>
  <cols>
    <col min="1" max="1" width="3" customWidth="1"/>
    <col min="2" max="2" width="50.28515625" bestFit="1" customWidth="1"/>
    <col min="3" max="3" width="12.5703125" customWidth="1"/>
    <col min="4" max="4" width="12.7109375" style="8" customWidth="1"/>
    <col min="5" max="5" width="13.140625" style="9" customWidth="1"/>
    <col min="6" max="6" width="5.28515625" customWidth="1"/>
    <col min="7" max="7" width="54.42578125" customWidth="1"/>
    <col min="8" max="8" width="14.140625" bestFit="1" customWidth="1"/>
    <col min="9" max="9" width="13.140625" customWidth="1"/>
    <col min="10" max="10" width="13.42578125" bestFit="1" customWidth="1"/>
    <col min="12" max="12" width="9" style="30" customWidth="1"/>
    <col min="13" max="13" width="9.28515625" style="30" hidden="1" customWidth="1"/>
    <col min="14" max="14" width="20.28515625" style="30" hidden="1" customWidth="1"/>
    <col min="15" max="15" width="20.85546875" style="30" hidden="1" customWidth="1"/>
    <col min="16" max="16" width="23.42578125" style="30" hidden="1" customWidth="1"/>
    <col min="17" max="17" width="17.5703125" style="30" hidden="1" customWidth="1"/>
    <col min="18" max="18" width="9.5703125" style="30" hidden="1" customWidth="1"/>
    <col min="19" max="19" width="12.7109375" style="30" hidden="1" customWidth="1"/>
    <col min="20" max="20" width="12.5703125" style="30" hidden="1" customWidth="1"/>
    <col min="21" max="21" width="17.5703125" style="30" hidden="1" customWidth="1"/>
    <col min="22" max="22" width="16.42578125" style="30" hidden="1" customWidth="1"/>
    <col min="23" max="23" width="24.140625" style="30" hidden="1" customWidth="1"/>
    <col min="24" max="26" width="11" bestFit="1" customWidth="1"/>
  </cols>
  <sheetData>
    <row r="1" spans="1:23" x14ac:dyDescent="0.25">
      <c r="A1" s="10"/>
      <c r="B1" s="113"/>
      <c r="C1" s="113"/>
      <c r="D1" s="113"/>
      <c r="E1" s="113"/>
      <c r="F1" s="113"/>
      <c r="G1" s="113"/>
      <c r="H1" s="113"/>
      <c r="I1" s="113"/>
    </row>
    <row r="2" spans="1:23" x14ac:dyDescent="0.25">
      <c r="A2" s="10"/>
      <c r="B2" s="113"/>
      <c r="C2" s="113"/>
      <c r="D2" s="113"/>
      <c r="E2" s="113"/>
      <c r="F2" s="113"/>
      <c r="G2" s="113"/>
      <c r="H2" s="113"/>
      <c r="I2" s="113"/>
    </row>
    <row r="3" spans="1:23" ht="23.25" customHeight="1" x14ac:dyDescent="0.25">
      <c r="A3" s="10"/>
      <c r="B3" s="113"/>
      <c r="C3" s="113"/>
      <c r="D3" s="113"/>
      <c r="E3" s="113"/>
      <c r="F3" s="113"/>
      <c r="G3" s="113"/>
      <c r="H3" s="113"/>
      <c r="I3" s="113"/>
    </row>
    <row r="4" spans="1:23" ht="22.5" x14ac:dyDescent="0.3">
      <c r="A4" s="10"/>
      <c r="B4" s="114" t="s">
        <v>72</v>
      </c>
      <c r="C4" s="114"/>
      <c r="D4" s="114"/>
      <c r="E4" s="114"/>
      <c r="F4" s="114"/>
      <c r="G4" s="114"/>
      <c r="H4" s="114"/>
      <c r="I4" s="114"/>
      <c r="T4" s="39"/>
    </row>
    <row r="5" spans="1:23" x14ac:dyDescent="0.25">
      <c r="A5" s="10"/>
      <c r="B5" s="43"/>
      <c r="C5" s="43"/>
      <c r="D5" s="44"/>
      <c r="E5" s="45"/>
      <c r="F5" s="43"/>
      <c r="G5" s="43"/>
      <c r="H5" s="43"/>
      <c r="I5" s="43"/>
      <c r="M5" s="31" t="s">
        <v>67</v>
      </c>
      <c r="N5" s="31" t="s">
        <v>3</v>
      </c>
      <c r="O5" s="32" t="s">
        <v>25</v>
      </c>
      <c r="P5" s="31" t="s">
        <v>2</v>
      </c>
      <c r="Q5" s="31" t="s">
        <v>26</v>
      </c>
      <c r="R5" s="31" t="s">
        <v>1</v>
      </c>
      <c r="S5" s="31" t="s">
        <v>13</v>
      </c>
      <c r="T5" s="31" t="s">
        <v>29</v>
      </c>
      <c r="U5" s="31" t="s">
        <v>30</v>
      </c>
      <c r="V5" s="31" t="s">
        <v>32</v>
      </c>
      <c r="W5" s="33" t="s">
        <v>78</v>
      </c>
    </row>
    <row r="6" spans="1:23" ht="14.25" customHeight="1" x14ac:dyDescent="0.25">
      <c r="A6" s="10"/>
      <c r="B6" s="43"/>
      <c r="C6" s="43"/>
      <c r="D6" s="44"/>
      <c r="E6" s="45"/>
      <c r="F6" s="43"/>
      <c r="G6" s="43"/>
      <c r="H6" s="43"/>
      <c r="I6" s="43"/>
      <c r="M6" s="30">
        <v>0</v>
      </c>
    </row>
    <row r="7" spans="1:23" ht="14.25" customHeight="1" x14ac:dyDescent="0.25">
      <c r="A7" s="10"/>
      <c r="B7" s="43"/>
      <c r="C7" s="43"/>
      <c r="D7" s="44"/>
      <c r="E7" s="45"/>
      <c r="F7" s="43"/>
      <c r="G7" s="43"/>
      <c r="H7" s="43"/>
      <c r="I7" s="43"/>
      <c r="M7" s="30">
        <v>1</v>
      </c>
      <c r="N7" s="34">
        <f>T7+U7-V7</f>
        <v>-10717.571029419661</v>
      </c>
      <c r="O7" s="35">
        <f t="shared" ref="O7:O32" si="0">N7/P7/M7</f>
        <v>-0.3674935120514598</v>
      </c>
      <c r="P7" s="36">
        <f>'Owner Occupier'!$D$38</f>
        <v>29163.973452458908</v>
      </c>
      <c r="Q7" s="37">
        <f>'Owner Occupier'!$H$30</f>
        <v>3.5000000000000003E-2</v>
      </c>
      <c r="R7" s="38">
        <f>'Owner Occupier'!$D$24</f>
        <v>505990</v>
      </c>
      <c r="S7" s="38">
        <f>'Owner Occupier'!$D$40</f>
        <v>488280.35</v>
      </c>
      <c r="T7" s="39">
        <f t="shared" ref="T7:T36" si="1">$R$7*(1+Q7)^M7-$R$7</f>
        <v>17709.649999999965</v>
      </c>
      <c r="U7" s="39">
        <f>S7-_xlfn.XLOOKUP($M7*12,'FHA Amotization'!$A$4:$A$363,'FHA Amotization'!$E$4:$E$363,0,0,1)</f>
        <v>8231.7544705803739</v>
      </c>
      <c r="V7" s="39">
        <f>(R7+T7)*'Owner Occupier'!$H$35</f>
        <v>36658.9755</v>
      </c>
      <c r="W7" s="36">
        <f t="shared" ref="W7:W36" si="2">$I$26*M7</f>
        <v>-22723.891712903598</v>
      </c>
    </row>
    <row r="8" spans="1:23" ht="14.25" customHeight="1" x14ac:dyDescent="0.25">
      <c r="A8" s="10"/>
      <c r="B8" s="43"/>
      <c r="C8" s="43"/>
      <c r="D8" s="44"/>
      <c r="E8" s="45"/>
      <c r="F8" s="43"/>
      <c r="G8" s="43"/>
      <c r="H8" s="43"/>
      <c r="I8" s="43"/>
      <c r="M8" s="30">
        <v>2</v>
      </c>
      <c r="N8" s="34">
        <f t="shared" ref="N8:N36" si="3">T8+U8-V8</f>
        <v>14917.352488637029</v>
      </c>
      <c r="O8" s="35">
        <f t="shared" si="0"/>
        <v>0.25574965827194751</v>
      </c>
      <c r="P8" s="36">
        <f>'Owner Occupier'!$D$38</f>
        <v>29163.973452458908</v>
      </c>
      <c r="Q8" s="37">
        <f>'Owner Occupier'!$H$30</f>
        <v>3.5000000000000003E-2</v>
      </c>
      <c r="R8" s="38">
        <f>'Owner Occupier'!$D$24</f>
        <v>505990</v>
      </c>
      <c r="S8" s="38">
        <f>'Owner Occupier'!$D$40</f>
        <v>488280.35</v>
      </c>
      <c r="T8" s="39">
        <f t="shared" si="1"/>
        <v>36039.137749999878</v>
      </c>
      <c r="U8" s="39">
        <f>S8-_xlfn.XLOOKUP($M8*12,'FHA Amotization'!$A$4:$A$363,'FHA Amotization'!$E$4:$E$363,0,0,1)</f>
        <v>16820.254381137143</v>
      </c>
      <c r="V8" s="39">
        <f>(R8+T8)*'Owner Occupier'!$H$35</f>
        <v>37942.039642499993</v>
      </c>
      <c r="W8" s="36">
        <f t="shared" si="2"/>
        <v>-45447.783425807196</v>
      </c>
    </row>
    <row r="9" spans="1:23" ht="14.25" customHeight="1" x14ac:dyDescent="0.25">
      <c r="A9" s="10"/>
      <c r="B9" s="43"/>
      <c r="C9" s="43"/>
      <c r="D9" s="44"/>
      <c r="E9" s="45"/>
      <c r="F9" s="43"/>
      <c r="G9" s="43"/>
      <c r="H9" s="43"/>
      <c r="I9" s="43"/>
      <c r="M9" s="30">
        <v>3</v>
      </c>
      <c r="N9" s="34">
        <f t="shared" si="3"/>
        <v>41521.106805605159</v>
      </c>
      <c r="O9" s="35">
        <f t="shared" si="0"/>
        <v>0.47457075620245409</v>
      </c>
      <c r="P9" s="36">
        <f>'Owner Occupier'!$D$38</f>
        <v>29163.973452458908</v>
      </c>
      <c r="Q9" s="37">
        <f>'Owner Occupier'!$H$30</f>
        <v>3.5000000000000003E-2</v>
      </c>
      <c r="R9" s="38">
        <f>'Owner Occupier'!$D$24</f>
        <v>505990</v>
      </c>
      <c r="S9" s="38">
        <f>'Owner Occupier'!$D$40</f>
        <v>488280.35</v>
      </c>
      <c r="T9" s="39">
        <f t="shared" si="1"/>
        <v>55010.157571249874</v>
      </c>
      <c r="U9" s="39">
        <f>S9-_xlfn.XLOOKUP($M9*12,'FHA Amotization'!$A$4:$A$363,'FHA Amotization'!$E$4:$E$363,0,0,1)</f>
        <v>25780.960264342779</v>
      </c>
      <c r="V9" s="39">
        <f>(R9+T9)*'Owner Occupier'!$H$35</f>
        <v>39270.011029987494</v>
      </c>
      <c r="W9" s="36">
        <f t="shared" si="2"/>
        <v>-68171.675138710794</v>
      </c>
    </row>
    <row r="10" spans="1:23" ht="14.25" customHeight="1" x14ac:dyDescent="0.25">
      <c r="A10" s="10"/>
      <c r="B10" s="43"/>
      <c r="C10" s="43"/>
      <c r="D10" s="44"/>
      <c r="E10" s="45"/>
      <c r="F10" s="43"/>
      <c r="G10" s="43"/>
      <c r="H10" s="43"/>
      <c r="I10" s="43"/>
      <c r="M10" s="30">
        <v>4</v>
      </c>
      <c r="N10" s="34">
        <f t="shared" si="3"/>
        <v>69130.704347255174</v>
      </c>
      <c r="O10" s="35">
        <f t="shared" si="0"/>
        <v>0.59260361469560441</v>
      </c>
      <c r="P10" s="36">
        <f>'Owner Occupier'!$D$38</f>
        <v>29163.973452458908</v>
      </c>
      <c r="Q10" s="37">
        <f>'Owner Occupier'!$H$30</f>
        <v>3.5000000000000003E-2</v>
      </c>
      <c r="R10" s="38">
        <f>'Owner Occupier'!$D$24</f>
        <v>505990</v>
      </c>
      <c r="S10" s="38">
        <f>'Owner Occupier'!$D$40</f>
        <v>488280.35</v>
      </c>
      <c r="T10" s="39">
        <f t="shared" si="1"/>
        <v>74645.163086243556</v>
      </c>
      <c r="U10" s="39">
        <f>S10-_xlfn.XLOOKUP($M10*12,'FHA Amotization'!$A$4:$A$363,'FHA Amotization'!$E$4:$E$363,0,0,1)</f>
        <v>35130.002677048673</v>
      </c>
      <c r="V10" s="39">
        <f>(R10+T10)*'Owner Occupier'!$H$35</f>
        <v>40644.461416037055</v>
      </c>
      <c r="W10" s="36">
        <f t="shared" si="2"/>
        <v>-90895.566851614392</v>
      </c>
    </row>
    <row r="11" spans="1:23" ht="14.25" customHeight="1" x14ac:dyDescent="0.25">
      <c r="A11" s="10"/>
      <c r="B11" s="43"/>
      <c r="C11" s="43"/>
      <c r="D11" s="44"/>
      <c r="E11" s="45"/>
      <c r="F11" s="43"/>
      <c r="G11" s="43"/>
      <c r="H11" s="43"/>
      <c r="I11" s="43"/>
      <c r="M11" s="30">
        <v>5</v>
      </c>
      <c r="N11" s="34">
        <f t="shared" si="3"/>
        <v>97784.587466266836</v>
      </c>
      <c r="O11" s="35">
        <f t="shared" si="0"/>
        <v>0.67058480646108465</v>
      </c>
      <c r="P11" s="36">
        <f>'Owner Occupier'!$D$38</f>
        <v>29163.973452458908</v>
      </c>
      <c r="Q11" s="37">
        <f>'Owner Occupier'!$H$30</f>
        <v>3.5000000000000003E-2</v>
      </c>
      <c r="R11" s="38">
        <f>'Owner Occupier'!$D$24</f>
        <v>505990</v>
      </c>
      <c r="S11" s="38">
        <f>'Owner Occupier'!$D$40</f>
        <v>488280.35</v>
      </c>
      <c r="T11" s="39">
        <f t="shared" si="1"/>
        <v>94967.393794262083</v>
      </c>
      <c r="U11" s="39">
        <f>S11-_xlfn.XLOOKUP($M11*12,'FHA Amotization'!$A$4:$A$363,'FHA Amotization'!$E$4:$E$363,0,0,1)</f>
        <v>44884.2112376031</v>
      </c>
      <c r="V11" s="39">
        <f>(R11+T11)*'Owner Occupier'!$H$35</f>
        <v>42067.017565598348</v>
      </c>
      <c r="W11" s="36">
        <f t="shared" si="2"/>
        <v>-113619.45856451799</v>
      </c>
    </row>
    <row r="12" spans="1:23" ht="14.25" customHeight="1" x14ac:dyDescent="0.25">
      <c r="A12" s="10"/>
      <c r="B12" s="43"/>
      <c r="C12" s="43"/>
      <c r="D12" s="44"/>
      <c r="E12" s="45"/>
      <c r="F12" s="43"/>
      <c r="G12" s="43"/>
      <c r="H12" s="43"/>
      <c r="I12" s="43"/>
      <c r="M12" s="30">
        <v>6</v>
      </c>
      <c r="N12" s="34">
        <f t="shared" si="3"/>
        <v>127522.68431824649</v>
      </c>
      <c r="O12" s="35">
        <f t="shared" si="0"/>
        <v>0.72876834682195113</v>
      </c>
      <c r="P12" s="36">
        <f>'Owner Occupier'!$D$38</f>
        <v>29163.973452458908</v>
      </c>
      <c r="Q12" s="37">
        <f>'Owner Occupier'!$H$30</f>
        <v>3.5000000000000003E-2</v>
      </c>
      <c r="R12" s="38">
        <f>'Owner Occupier'!$D$24</f>
        <v>505990</v>
      </c>
      <c r="S12" s="38">
        <f>'Owner Occupier'!$D$40</f>
        <v>488280.35</v>
      </c>
      <c r="T12" s="39">
        <f t="shared" si="1"/>
        <v>116000.90257706121</v>
      </c>
      <c r="U12" s="39">
        <f>S12-_xlfn.XLOOKUP($M12*12,'FHA Amotization'!$A$4:$A$363,'FHA Amotization'!$E$4:$E$363,0,0,1)</f>
        <v>55061.144921579573</v>
      </c>
      <c r="V12" s="39">
        <f>(R12+T12)*'Owner Occupier'!$H$35</f>
        <v>43539.363180394292</v>
      </c>
      <c r="W12" s="36">
        <f t="shared" si="2"/>
        <v>-136343.35027742159</v>
      </c>
    </row>
    <row r="13" spans="1:23" ht="14.25" customHeight="1" x14ac:dyDescent="0.25">
      <c r="A13" s="10"/>
      <c r="B13" s="43"/>
      <c r="C13" s="43"/>
      <c r="D13" s="44"/>
      <c r="E13" s="45"/>
      <c r="F13" s="43"/>
      <c r="G13" s="43"/>
      <c r="H13" s="43"/>
      <c r="I13" s="43"/>
      <c r="M13" s="30">
        <v>7</v>
      </c>
      <c r="N13" s="34">
        <f t="shared" si="3"/>
        <v>158386.46694600428</v>
      </c>
      <c r="O13" s="35">
        <f t="shared" si="0"/>
        <v>0.77584209065434273</v>
      </c>
      <c r="P13" s="36">
        <f>'Owner Occupier'!$D$38</f>
        <v>29163.973452458908</v>
      </c>
      <c r="Q13" s="37">
        <f>'Owner Occupier'!$H$30</f>
        <v>3.5000000000000003E-2</v>
      </c>
      <c r="R13" s="38">
        <f>'Owner Occupier'!$D$24</f>
        <v>505990</v>
      </c>
      <c r="S13" s="38">
        <f>'Owner Occupier'!$D$40</f>
        <v>488280.35</v>
      </c>
      <c r="T13" s="39">
        <f t="shared" si="1"/>
        <v>137770.58416725835</v>
      </c>
      <c r="U13" s="39">
        <f>S13-_xlfn.XLOOKUP($M13*12,'FHA Amotization'!$A$4:$A$363,'FHA Amotization'!$E$4:$E$363,0,0,1)</f>
        <v>65679.123670454021</v>
      </c>
      <c r="V13" s="39">
        <f>(R13+T13)*'Owner Occupier'!$H$35</f>
        <v>45063.24089170809</v>
      </c>
      <c r="W13" s="36">
        <f t="shared" si="2"/>
        <v>-159067.24199032519</v>
      </c>
    </row>
    <row r="14" spans="1:23" ht="14.25" customHeight="1" x14ac:dyDescent="0.25">
      <c r="A14" s="10"/>
      <c r="B14" s="43"/>
      <c r="C14" s="43"/>
      <c r="D14" s="44"/>
      <c r="E14" s="45"/>
      <c r="F14" s="43"/>
      <c r="G14" s="43"/>
      <c r="H14" s="43"/>
      <c r="I14" s="43"/>
      <c r="M14" s="30">
        <v>8</v>
      </c>
      <c r="N14" s="34">
        <f t="shared" si="3"/>
        <v>190419.01166032313</v>
      </c>
      <c r="O14" s="35">
        <f t="shared" si="0"/>
        <v>0.81615684146542578</v>
      </c>
      <c r="P14" s="36">
        <f>'Owner Occupier'!$D$38</f>
        <v>29163.973452458908</v>
      </c>
      <c r="Q14" s="37">
        <f>'Owner Occupier'!$H$30</f>
        <v>3.5000000000000003E-2</v>
      </c>
      <c r="R14" s="38">
        <f>'Owner Occupier'!$D$24</f>
        <v>505990</v>
      </c>
      <c r="S14" s="38">
        <f>'Owner Occupier'!$D$40</f>
        <v>488280.35</v>
      </c>
      <c r="T14" s="39">
        <f t="shared" si="1"/>
        <v>160302.20461311226</v>
      </c>
      <c r="U14" s="39">
        <f>S14-_xlfn.XLOOKUP($M14*12,'FHA Amotization'!$A$4:$A$363,'FHA Amotization'!$E$4:$E$363,0,0,1)</f>
        <v>76757.261370128719</v>
      </c>
      <c r="V14" s="39">
        <f>(R14+T14)*'Owner Occupier'!$H$35</f>
        <v>46640.45432291786</v>
      </c>
      <c r="W14" s="36">
        <f t="shared" si="2"/>
        <v>-181791.13370322878</v>
      </c>
    </row>
    <row r="15" spans="1:23" ht="14.25" customHeight="1" x14ac:dyDescent="0.25">
      <c r="A15" s="10"/>
      <c r="B15" s="43"/>
      <c r="C15" s="43"/>
      <c r="D15" s="44"/>
      <c r="E15" s="45"/>
      <c r="F15" s="43"/>
      <c r="G15" s="43"/>
      <c r="H15" s="43"/>
      <c r="I15" s="43"/>
      <c r="M15" s="30">
        <v>9</v>
      </c>
      <c r="N15" s="34">
        <f t="shared" si="3"/>
        <v>223665.0618090218</v>
      </c>
      <c r="O15" s="35">
        <f t="shared" si="0"/>
        <v>0.85213606351847893</v>
      </c>
      <c r="P15" s="36">
        <f>'Owner Occupier'!$D$38</f>
        <v>29163.973452458908</v>
      </c>
      <c r="Q15" s="37">
        <f>'Owner Occupier'!$H$30</f>
        <v>3.5000000000000003E-2</v>
      </c>
      <c r="R15" s="38">
        <f>'Owner Occupier'!$D$24</f>
        <v>505990</v>
      </c>
      <c r="S15" s="38">
        <f>'Owner Occupier'!$D$40</f>
        <v>488280.35</v>
      </c>
      <c r="T15" s="39">
        <f t="shared" si="1"/>
        <v>183622.43177457107</v>
      </c>
      <c r="U15" s="39">
        <f>S15-_xlfn.XLOOKUP($M15*12,'FHA Amotization'!$A$4:$A$363,'FHA Amotization'!$E$4:$E$363,0,0,1)</f>
        <v>88315.500258670712</v>
      </c>
      <c r="V15" s="39">
        <f>(R15+T15)*'Owner Occupier'!$H$35</f>
        <v>48272.87022421998</v>
      </c>
      <c r="W15" s="36">
        <f t="shared" si="2"/>
        <v>-204515.02541613238</v>
      </c>
    </row>
    <row r="16" spans="1:23" ht="14.25" customHeight="1" x14ac:dyDescent="0.25">
      <c r="A16" s="10"/>
      <c r="B16" s="43"/>
      <c r="C16" s="43"/>
      <c r="D16" s="44"/>
      <c r="E16" s="45"/>
      <c r="F16" s="43"/>
      <c r="G16" s="43"/>
      <c r="H16" s="43"/>
      <c r="I16" s="43"/>
      <c r="M16" s="30">
        <v>10</v>
      </c>
      <c r="N16" s="34">
        <f t="shared" si="3"/>
        <v>258171.09302981658</v>
      </c>
      <c r="O16" s="35">
        <f t="shared" si="0"/>
        <v>0.88523977519959429</v>
      </c>
      <c r="P16" s="36">
        <f>'Owner Occupier'!$D$38</f>
        <v>29163.973452458908</v>
      </c>
      <c r="Q16" s="37">
        <f>'Owner Occupier'!$H$30</f>
        <v>3.5000000000000003E-2</v>
      </c>
      <c r="R16" s="38">
        <f>'Owner Occupier'!$D$24</f>
        <v>505990</v>
      </c>
      <c r="S16" s="38">
        <f>'Owner Occupier'!$D$40</f>
        <v>488280.35</v>
      </c>
      <c r="T16" s="39">
        <f t="shared" si="1"/>
        <v>207758.86688668106</v>
      </c>
      <c r="U16" s="39">
        <f>S16-_xlfn.XLOOKUP($M16*12,'FHA Amotization'!$A$4:$A$363,'FHA Amotization'!$E$4:$E$363,0,0,1)</f>
        <v>100374.64682520321</v>
      </c>
      <c r="V16" s="39">
        <f>(R16+T16)*'Owner Occupier'!$H$35</f>
        <v>49962.420682067677</v>
      </c>
      <c r="W16" s="36">
        <f t="shared" si="2"/>
        <v>-227238.91712903598</v>
      </c>
    </row>
    <row r="17" spans="1:26" ht="14.25" customHeight="1" x14ac:dyDescent="0.25">
      <c r="A17" s="10"/>
      <c r="B17" s="43"/>
      <c r="C17" s="43"/>
      <c r="D17" s="44"/>
      <c r="E17" s="45"/>
      <c r="F17" s="43"/>
      <c r="G17" s="43"/>
      <c r="H17" s="43"/>
      <c r="I17" s="43"/>
      <c r="M17" s="30">
        <v>11</v>
      </c>
      <c r="N17" s="34">
        <f t="shared" si="3"/>
        <v>293985.38108634687</v>
      </c>
      <c r="O17" s="35">
        <f t="shared" si="0"/>
        <v>0.91640269041834188</v>
      </c>
      <c r="P17" s="36">
        <f>'Owner Occupier'!$D$38</f>
        <v>29163.973452458908</v>
      </c>
      <c r="Q17" s="37">
        <f>'Owner Occupier'!$H$30</f>
        <v>3.5000000000000003E-2</v>
      </c>
      <c r="R17" s="38">
        <f>'Owner Occupier'!$D$24</f>
        <v>505990</v>
      </c>
      <c r="S17" s="38">
        <f>'Owner Occupier'!$D$40</f>
        <v>488280.35</v>
      </c>
      <c r="T17" s="39">
        <f t="shared" si="1"/>
        <v>232740.07722771482</v>
      </c>
      <c r="U17" s="39">
        <f>S17-_xlfn.XLOOKUP($M17*12,'FHA Amotization'!$A$4:$A$363,'FHA Amotization'!$E$4:$E$363,0,0,1)</f>
        <v>112956.40926457208</v>
      </c>
      <c r="V17" s="39">
        <f>(R17+T17)*'Owner Occupier'!$H$35</f>
        <v>51711.105405940041</v>
      </c>
      <c r="W17" s="36">
        <f t="shared" si="2"/>
        <v>-249962.80884193958</v>
      </c>
    </row>
    <row r="18" spans="1:26" ht="14.25" customHeight="1" x14ac:dyDescent="0.25">
      <c r="A18" s="10"/>
      <c r="B18" s="43"/>
      <c r="C18" s="43"/>
      <c r="D18" s="44"/>
      <c r="E18" s="45"/>
      <c r="F18" s="43"/>
      <c r="G18" s="43"/>
      <c r="H18" s="43"/>
      <c r="I18" s="43"/>
      <c r="M18" s="30">
        <v>12</v>
      </c>
      <c r="N18" s="34">
        <f t="shared" si="3"/>
        <v>331158.07239075011</v>
      </c>
      <c r="O18" s="35">
        <f t="shared" si="0"/>
        <v>0.94625329698466587</v>
      </c>
      <c r="P18" s="36">
        <f>'Owner Occupier'!$D$38</f>
        <v>29163.973452458908</v>
      </c>
      <c r="Q18" s="37">
        <f>'Owner Occupier'!$H$30</f>
        <v>3.5000000000000003E-2</v>
      </c>
      <c r="R18" s="38">
        <f>'Owner Occupier'!$D$24</f>
        <v>505990</v>
      </c>
      <c r="S18" s="38">
        <f>'Owner Occupier'!$D$40</f>
        <v>488280.35</v>
      </c>
      <c r="T18" s="39">
        <f t="shared" si="1"/>
        <v>258595.62993068481</v>
      </c>
      <c r="U18" s="39">
        <f>S18-_xlfn.XLOOKUP($M18*12,'FHA Amotization'!$A$4:$A$363,'FHA Amotization'!$E$4:$E$363,0,0,1)</f>
        <v>126083.43655521324</v>
      </c>
      <c r="V18" s="39">
        <f>(R18+T18)*'Owner Occupier'!$H$35</f>
        <v>53520.994095147944</v>
      </c>
      <c r="W18" s="36">
        <f t="shared" si="2"/>
        <v>-272686.70055484318</v>
      </c>
    </row>
    <row r="19" spans="1:26" ht="14.25" customHeight="1" x14ac:dyDescent="0.25">
      <c r="A19" s="10"/>
      <c r="B19" s="43"/>
      <c r="C19" s="43"/>
      <c r="D19" s="44"/>
      <c r="E19" s="45"/>
      <c r="F19" s="43"/>
      <c r="G19" s="43"/>
      <c r="H19" s="43"/>
      <c r="I19" s="43"/>
      <c r="M19" s="30">
        <v>13</v>
      </c>
      <c r="N19" s="34">
        <f t="shared" si="3"/>
        <v>369741.25732034526</v>
      </c>
      <c r="O19" s="35">
        <f t="shared" si="0"/>
        <v>0.97523182925850915</v>
      </c>
      <c r="P19" s="36">
        <f>'Owner Occupier'!$D$38</f>
        <v>29163.973452458908</v>
      </c>
      <c r="Q19" s="37">
        <f>'Owner Occupier'!$H$30</f>
        <v>3.5000000000000003E-2</v>
      </c>
      <c r="R19" s="38">
        <f>'Owner Occupier'!$D$24</f>
        <v>505990</v>
      </c>
      <c r="S19" s="38">
        <f>'Owner Occupier'!$D$40</f>
        <v>488280.35</v>
      </c>
      <c r="T19" s="39">
        <f t="shared" si="1"/>
        <v>285356.1269782586</v>
      </c>
      <c r="U19" s="39">
        <f>S19-_xlfn.XLOOKUP($M19*12,'FHA Amotization'!$A$4:$A$363,'FHA Amotization'!$E$4:$E$363,0,0,1)</f>
        <v>139779.35923056479</v>
      </c>
      <c r="V19" s="39">
        <f>(R19+T19)*'Owner Occupier'!$H$35</f>
        <v>55394.228888478108</v>
      </c>
      <c r="W19" s="36">
        <f t="shared" si="2"/>
        <v>-295410.5922677468</v>
      </c>
    </row>
    <row r="20" spans="1:26" ht="14.25" customHeight="1" x14ac:dyDescent="0.25">
      <c r="A20" s="10"/>
      <c r="B20" s="43"/>
      <c r="C20" s="43"/>
      <c r="D20" s="44"/>
      <c r="E20" s="45"/>
      <c r="F20" s="43"/>
      <c r="G20" s="43"/>
      <c r="H20" s="43"/>
      <c r="I20" s="43"/>
      <c r="M20" s="30">
        <v>14</v>
      </c>
      <c r="N20" s="34">
        <f t="shared" si="3"/>
        <v>409789.04644034221</v>
      </c>
      <c r="O20" s="35">
        <f t="shared" si="0"/>
        <v>1.0036576882099122</v>
      </c>
      <c r="P20" s="36">
        <f>'Owner Occupier'!$D$38</f>
        <v>29163.973452458908</v>
      </c>
      <c r="Q20" s="37">
        <f>'Owner Occupier'!$H$30</f>
        <v>3.5000000000000003E-2</v>
      </c>
      <c r="R20" s="38">
        <f>'Owner Occupier'!$D$24</f>
        <v>505990</v>
      </c>
      <c r="S20" s="38">
        <f>'Owner Occupier'!$D$40</f>
        <v>488280.35</v>
      </c>
      <c r="T20" s="39">
        <f t="shared" si="1"/>
        <v>313053.24142249778</v>
      </c>
      <c r="U20" s="39">
        <f>S20-_xlfn.XLOOKUP($M20*12,'FHA Amotization'!$A$4:$A$363,'FHA Amotization'!$E$4:$E$363,0,0,1)</f>
        <v>154068.83191741927</v>
      </c>
      <c r="V20" s="39">
        <f>(R20+T20)*'Owner Occupier'!$H$35</f>
        <v>57333.026899574848</v>
      </c>
      <c r="W20" s="36">
        <f t="shared" si="2"/>
        <v>-318134.48398065037</v>
      </c>
    </row>
    <row r="21" spans="1:26" ht="14.25" customHeight="1" x14ac:dyDescent="0.25">
      <c r="A21" s="10"/>
      <c r="B21" s="43"/>
      <c r="C21" s="43"/>
      <c r="D21" s="44"/>
      <c r="E21" s="45"/>
      <c r="F21" s="43"/>
      <c r="G21" s="43"/>
      <c r="H21" s="43"/>
      <c r="I21" s="43"/>
      <c r="M21" s="40">
        <v>15</v>
      </c>
      <c r="N21" s="34">
        <f t="shared" si="3"/>
        <v>451357.64974901563</v>
      </c>
      <c r="O21" s="35">
        <f t="shared" si="0"/>
        <v>1.0317699003642002</v>
      </c>
      <c r="P21" s="36">
        <f>'Owner Occupier'!$D$38</f>
        <v>29163.973452458908</v>
      </c>
      <c r="Q21" s="37">
        <f>'Owner Occupier'!$H$30</f>
        <v>3.5000000000000003E-2</v>
      </c>
      <c r="R21" s="38">
        <f>'Owner Occupier'!$D$24</f>
        <v>505990</v>
      </c>
      <c r="S21" s="38">
        <f>'Owner Occupier'!$D$40</f>
        <v>488280.35</v>
      </c>
      <c r="T21" s="39">
        <f t="shared" si="1"/>
        <v>341719.75487228506</v>
      </c>
      <c r="U21" s="39">
        <f>S21-_xlfn.XLOOKUP($M21*12,'FHA Amotization'!$A$4:$A$363,'FHA Amotization'!$E$4:$E$363,0,0,1)</f>
        <v>168977.57771779055</v>
      </c>
      <c r="V21" s="39">
        <f>(R21+T21)*'Owner Occupier'!$H$35</f>
        <v>59339.682841059963</v>
      </c>
      <c r="W21" s="36">
        <f t="shared" si="2"/>
        <v>-340858.37569355394</v>
      </c>
      <c r="X21" s="85"/>
      <c r="Y21" s="86"/>
      <c r="Z21" s="85"/>
    </row>
    <row r="22" spans="1:26" ht="14.25" customHeight="1" x14ac:dyDescent="0.25">
      <c r="A22" s="10"/>
      <c r="B22" s="43"/>
      <c r="C22" s="43"/>
      <c r="D22" s="44"/>
      <c r="E22" s="45"/>
      <c r="F22" s="43"/>
      <c r="G22" s="43"/>
      <c r="H22" s="43"/>
      <c r="I22" s="43"/>
      <c r="M22" s="30">
        <v>16</v>
      </c>
      <c r="N22" s="34">
        <f t="shared" si="3"/>
        <v>494505.45906650845</v>
      </c>
      <c r="O22" s="35">
        <f t="shared" si="0"/>
        <v>1.0597524113796966</v>
      </c>
      <c r="P22" s="36">
        <f>'Owner Occupier'!$D$38</f>
        <v>29163.973452458908</v>
      </c>
      <c r="Q22" s="37">
        <f>'Owner Occupier'!$H$30</f>
        <v>3.5000000000000003E-2</v>
      </c>
      <c r="R22" s="38">
        <f>'Owner Occupier'!$D$24</f>
        <v>505990</v>
      </c>
      <c r="S22" s="38">
        <f>'Owner Occupier'!$D$40</f>
        <v>488280.35</v>
      </c>
      <c r="T22" s="39">
        <f t="shared" si="1"/>
        <v>371389.59629281494</v>
      </c>
      <c r="U22" s="39">
        <f>S22-_xlfn.XLOOKUP($M22*12,'FHA Amotization'!$A$4:$A$363,'FHA Amotization'!$E$4:$E$363,0,0,1)</f>
        <v>184532.43451419054</v>
      </c>
      <c r="V22" s="39">
        <f>(R22+T22)*'Owner Occupier'!$H$35</f>
        <v>61416.571740497049</v>
      </c>
      <c r="W22" s="36">
        <f t="shared" si="2"/>
        <v>-363582.26740645757</v>
      </c>
    </row>
    <row r="23" spans="1:26" ht="18" x14ac:dyDescent="0.25">
      <c r="A23" s="10"/>
      <c r="B23" s="46" t="s">
        <v>0</v>
      </c>
      <c r="C23" s="46"/>
      <c r="D23" s="47"/>
      <c r="E23" s="48"/>
      <c r="F23" s="49"/>
      <c r="G23" s="46" t="s">
        <v>23</v>
      </c>
      <c r="H23" s="48" t="s">
        <v>11</v>
      </c>
      <c r="I23" s="48" t="s">
        <v>12</v>
      </c>
      <c r="M23" s="30">
        <v>17</v>
      </c>
      <c r="N23" s="34">
        <f t="shared" si="3"/>
        <v>539293.13369331858</v>
      </c>
      <c r="O23" s="35">
        <f t="shared" si="0"/>
        <v>1.0877504590752878</v>
      </c>
      <c r="P23" s="36">
        <f>'Owner Occupier'!$D$38</f>
        <v>29163.973452458908</v>
      </c>
      <c r="Q23" s="37">
        <f>'Owner Occupier'!$H$30</f>
        <v>3.5000000000000003E-2</v>
      </c>
      <c r="R23" s="38">
        <f>'Owner Occupier'!$D$24</f>
        <v>505990</v>
      </c>
      <c r="S23" s="38">
        <f>'Owner Occupier'!$D$40</f>
        <v>488280.35</v>
      </c>
      <c r="T23" s="39">
        <f t="shared" si="1"/>
        <v>402097.88216306339</v>
      </c>
      <c r="U23" s="39">
        <f>S23-_xlfn.XLOOKUP($M23*12,'FHA Amotization'!$A$4:$A$363,'FHA Amotization'!$E$4:$E$363,0,0,1)</f>
        <v>200761.4032816696</v>
      </c>
      <c r="V23" s="39">
        <f>(R23+T23)*'Owner Occupier'!$H$35</f>
        <v>63566.151751414443</v>
      </c>
      <c r="W23" s="36">
        <f t="shared" si="2"/>
        <v>-386306.1591193612</v>
      </c>
    </row>
    <row r="24" spans="1:26" x14ac:dyDescent="0.25">
      <c r="A24" s="10"/>
      <c r="B24" s="56" t="s">
        <v>84</v>
      </c>
      <c r="C24" s="56"/>
      <c r="D24" s="61">
        <f>Summary!E8</f>
        <v>505990</v>
      </c>
      <c r="E24" s="45"/>
      <c r="F24" s="43"/>
      <c r="G24" s="44" t="s">
        <v>133</v>
      </c>
      <c r="H24" s="50">
        <f>Summary!E11</f>
        <v>1825</v>
      </c>
      <c r="I24" s="53">
        <f t="shared" ref="I24" si="4">H24*12</f>
        <v>21900</v>
      </c>
      <c r="M24" s="30">
        <v>18</v>
      </c>
      <c r="N24" s="34">
        <f t="shared" si="3"/>
        <v>585783.68946964771</v>
      </c>
      <c r="O24" s="35">
        <f t="shared" si="0"/>
        <v>1.1158814952605667</v>
      </c>
      <c r="P24" s="36">
        <f>'Owner Occupier'!$D$38</f>
        <v>29163.973452458908</v>
      </c>
      <c r="Q24" s="37">
        <f>'Owner Occupier'!$H$30</f>
        <v>3.5000000000000003E-2</v>
      </c>
      <c r="R24" s="38">
        <f>'Owner Occupier'!$D$24</f>
        <v>505990</v>
      </c>
      <c r="S24" s="38">
        <f>'Owner Occupier'!$D$40</f>
        <v>488280.35</v>
      </c>
      <c r="T24" s="39">
        <f t="shared" si="1"/>
        <v>433880.95803877048</v>
      </c>
      <c r="U24" s="39">
        <f>S24-_xlfn.XLOOKUP($M24*12,'FHA Amotization'!$A$4:$A$363,'FHA Amotization'!$E$4:$E$363,0,0,1)</f>
        <v>217693.69849359122</v>
      </c>
      <c r="V24" s="39">
        <f>(R24+T24)*'Owner Occupier'!$H$35</f>
        <v>65790.967062713942</v>
      </c>
      <c r="W24" s="36">
        <f t="shared" si="2"/>
        <v>-409030.05083226477</v>
      </c>
    </row>
    <row r="25" spans="1:26" x14ac:dyDescent="0.25">
      <c r="A25" s="10"/>
      <c r="B25" s="56" t="s">
        <v>89</v>
      </c>
      <c r="C25" s="56"/>
      <c r="D25" s="61">
        <f>I24</f>
        <v>21900</v>
      </c>
      <c r="E25" s="45"/>
      <c r="F25" s="43"/>
      <c r="G25" s="44" t="s">
        <v>114</v>
      </c>
      <c r="H25" s="50">
        <f>D56</f>
        <v>3718.6576427419659</v>
      </c>
      <c r="I25" s="53">
        <f>E56</f>
        <v>44623.891712903598</v>
      </c>
      <c r="M25" s="30">
        <v>19</v>
      </c>
      <c r="N25" s="34">
        <f t="shared" si="3"/>
        <v>634042.59137209633</v>
      </c>
      <c r="O25" s="35">
        <f t="shared" si="0"/>
        <v>1.1442426649507513</v>
      </c>
      <c r="P25" s="36">
        <f>'Owner Occupier'!$D$38</f>
        <v>29163.973452458908</v>
      </c>
      <c r="Q25" s="37">
        <f>'Owner Occupier'!$H$30</f>
        <v>3.5000000000000003E-2</v>
      </c>
      <c r="R25" s="38">
        <f>'Owner Occupier'!$D$24</f>
        <v>505990</v>
      </c>
      <c r="S25" s="38">
        <f>'Owner Occupier'!$D$40</f>
        <v>488280.35</v>
      </c>
      <c r="T25" s="39">
        <f t="shared" si="1"/>
        <v>466776.44157012738</v>
      </c>
      <c r="U25" s="39">
        <f>S25-_xlfn.XLOOKUP($M25*12,'FHA Amotization'!$A$4:$A$363,'FHA Amotization'!$E$4:$E$363,0,0,1)</f>
        <v>235359.80071187785</v>
      </c>
      <c r="V25" s="39">
        <f>(R25+T25)*'Owner Occupier'!$H$35</f>
        <v>68093.650909908916</v>
      </c>
      <c r="W25" s="36">
        <f t="shared" si="2"/>
        <v>-431753.94254516833</v>
      </c>
    </row>
    <row r="26" spans="1:26" x14ac:dyDescent="0.25">
      <c r="A26" s="10"/>
      <c r="B26" s="56" t="s">
        <v>77</v>
      </c>
      <c r="C26" s="56"/>
      <c r="D26" s="61">
        <f>D38</f>
        <v>29163.973452458908</v>
      </c>
      <c r="E26" s="45"/>
      <c r="F26" s="43"/>
      <c r="G26" s="56" t="s">
        <v>129</v>
      </c>
      <c r="H26" s="58">
        <f>H24-H25</f>
        <v>-1893.6576427419659</v>
      </c>
      <c r="I26" s="59">
        <f>I24-I25</f>
        <v>-22723.891712903598</v>
      </c>
      <c r="M26" s="30">
        <v>20</v>
      </c>
      <c r="N26" s="34">
        <f t="shared" si="3"/>
        <v>684137.84978972329</v>
      </c>
      <c r="O26" s="35">
        <f t="shared" si="0"/>
        <v>1.1729160481251939</v>
      </c>
      <c r="P26" s="36">
        <f>'Owner Occupier'!$D$38</f>
        <v>29163.973452458908</v>
      </c>
      <c r="Q26" s="37">
        <f>'Owner Occupier'!$H$30</f>
        <v>3.5000000000000003E-2</v>
      </c>
      <c r="R26" s="38">
        <f>'Owner Occupier'!$D$24</f>
        <v>505990</v>
      </c>
      <c r="S26" s="38">
        <f>'Owner Occupier'!$D$40</f>
        <v>488280.35</v>
      </c>
      <c r="T26" s="39">
        <f t="shared" si="1"/>
        <v>500823.26702508179</v>
      </c>
      <c r="U26" s="39">
        <f>S26-_xlfn.XLOOKUP($M26*12,'FHA Amotization'!$A$4:$A$363,'FHA Amotization'!$E$4:$E$363,0,0,1)</f>
        <v>253791.51145639727</v>
      </c>
      <c r="V26" s="39">
        <f>(R26+T26)*'Owner Occupier'!$H$35</f>
        <v>70476.928691755733</v>
      </c>
      <c r="W26" s="36">
        <f t="shared" si="2"/>
        <v>-454477.83425807196</v>
      </c>
    </row>
    <row r="27" spans="1:26" x14ac:dyDescent="0.25">
      <c r="A27" s="10"/>
      <c r="B27" s="56" t="s">
        <v>132</v>
      </c>
      <c r="C27" s="56"/>
      <c r="D27" s="61">
        <f>H26</f>
        <v>-1893.6576427419659</v>
      </c>
      <c r="E27" s="45"/>
      <c r="F27" s="43"/>
      <c r="G27" s="56" t="s">
        <v>130</v>
      </c>
      <c r="H27" s="58">
        <f>H24-H25+D54+D55</f>
        <v>-1784.1576427419659</v>
      </c>
      <c r="I27" s="58">
        <f>I24-I25+E54+E55</f>
        <v>-21409.891712903598</v>
      </c>
      <c r="M27" s="30">
        <v>21</v>
      </c>
      <c r="N27" s="34">
        <f t="shared" si="3"/>
        <v>736140.12062725576</v>
      </c>
      <c r="O27" s="35">
        <f t="shared" si="0"/>
        <v>1.2019724100895866</v>
      </c>
      <c r="P27" s="36">
        <f>'Owner Occupier'!$D$38</f>
        <v>29163.973452458908</v>
      </c>
      <c r="Q27" s="37">
        <f>'Owner Occupier'!$H$30</f>
        <v>3.5000000000000003E-2</v>
      </c>
      <c r="R27" s="38">
        <f>'Owner Occupier'!$D$24</f>
        <v>505990</v>
      </c>
      <c r="S27" s="38">
        <f>'Owner Occupier'!$D$40</f>
        <v>488280.35</v>
      </c>
      <c r="T27" s="39">
        <f t="shared" si="1"/>
        <v>536061.73137095943</v>
      </c>
      <c r="U27" s="39">
        <f>S27-_xlfn.XLOOKUP($M27*12,'FHA Amotization'!$A$4:$A$363,'FHA Amotization'!$E$4:$E$363,0,0,1)</f>
        <v>273022.01045226352</v>
      </c>
      <c r="V27" s="39">
        <f>(R27+T27)*'Owner Occupier'!$H$35</f>
        <v>72943.621195967164</v>
      </c>
      <c r="W27" s="36">
        <f t="shared" si="2"/>
        <v>-477201.72597097559</v>
      </c>
    </row>
    <row r="28" spans="1:26" x14ac:dyDescent="0.25">
      <c r="A28" s="10"/>
      <c r="B28" s="56" t="s">
        <v>131</v>
      </c>
      <c r="C28" s="56"/>
      <c r="D28" s="61">
        <f>H27</f>
        <v>-1784.1576427419659</v>
      </c>
      <c r="E28" s="45"/>
      <c r="F28" s="43"/>
      <c r="G28" s="10"/>
      <c r="H28" s="10"/>
      <c r="I28" s="10"/>
      <c r="M28" s="30">
        <v>22</v>
      </c>
      <c r="N28" s="34">
        <f t="shared" si="3"/>
        <v>790122.80938922206</v>
      </c>
      <c r="O28" s="35">
        <f t="shared" si="0"/>
        <v>1.231473935216721</v>
      </c>
      <c r="P28" s="36">
        <f>'Owner Occupier'!$D$38</f>
        <v>29163.973452458908</v>
      </c>
      <c r="Q28" s="37">
        <f>'Owner Occupier'!$H$30</f>
        <v>3.5000000000000003E-2</v>
      </c>
      <c r="R28" s="38">
        <f>'Owner Occupier'!$D$24</f>
        <v>505990</v>
      </c>
      <c r="S28" s="38">
        <f>'Owner Occupier'!$D$40</f>
        <v>488280.35</v>
      </c>
      <c r="T28" s="39">
        <f t="shared" si="1"/>
        <v>572533.54196894309</v>
      </c>
      <c r="U28" s="39">
        <f>S28-_xlfn.XLOOKUP($M28*12,'FHA Amotization'!$A$4:$A$363,'FHA Amotization'!$E$4:$E$363,0,0,1)</f>
        <v>293085.91535810498</v>
      </c>
      <c r="V28" s="39">
        <f>(R28+T28)*'Owner Occupier'!$H$35</f>
        <v>75496.647937826026</v>
      </c>
      <c r="W28" s="36">
        <f t="shared" si="2"/>
        <v>-499925.61768387916</v>
      </c>
    </row>
    <row r="29" spans="1:26" ht="18" x14ac:dyDescent="0.25">
      <c r="A29" s="10"/>
      <c r="B29" s="56" t="s">
        <v>112</v>
      </c>
      <c r="C29" s="56"/>
      <c r="D29" s="73">
        <f>H34</f>
        <v>80398.820034197721</v>
      </c>
      <c r="E29" s="45"/>
      <c r="F29" s="43"/>
      <c r="G29" s="46" t="s">
        <v>25</v>
      </c>
      <c r="H29" s="48"/>
      <c r="I29" s="48"/>
      <c r="M29" s="30">
        <v>23</v>
      </c>
      <c r="N29" s="34">
        <f t="shared" si="3"/>
        <v>846162.17940502509</v>
      </c>
      <c r="O29" s="35">
        <f t="shared" si="0"/>
        <v>1.2614762537108835</v>
      </c>
      <c r="P29" s="36">
        <f>'Owner Occupier'!$D$38</f>
        <v>29163.973452458908</v>
      </c>
      <c r="Q29" s="37">
        <f>'Owner Occupier'!$H$30</f>
        <v>3.5000000000000003E-2</v>
      </c>
      <c r="R29" s="38">
        <f>'Owner Occupier'!$D$24</f>
        <v>505990</v>
      </c>
      <c r="S29" s="38">
        <f>'Owner Occupier'!$D$40</f>
        <v>488280.35</v>
      </c>
      <c r="T29" s="39">
        <f t="shared" si="1"/>
        <v>610281.86593785603</v>
      </c>
      <c r="U29" s="39">
        <f>S29-_xlfn.XLOOKUP($M29*12,'FHA Amotization'!$A$4:$A$363,'FHA Amotization'!$E$4:$E$363,0,0,1)</f>
        <v>314019.34408281895</v>
      </c>
      <c r="V29" s="39">
        <f>(R29+T29)*'Owner Occupier'!$H$35</f>
        <v>78139.030615649928</v>
      </c>
      <c r="W29" s="36">
        <f t="shared" si="2"/>
        <v>-522649.50939678273</v>
      </c>
    </row>
    <row r="30" spans="1:26" x14ac:dyDescent="0.25">
      <c r="A30" s="10"/>
      <c r="B30" s="56" t="s">
        <v>76</v>
      </c>
      <c r="C30" s="56"/>
      <c r="D30" s="77">
        <f>H32</f>
        <v>341719.75487228506</v>
      </c>
      <c r="E30" s="45"/>
      <c r="F30" s="43"/>
      <c r="G30" s="44" t="s">
        <v>79</v>
      </c>
      <c r="H30" s="62">
        <f>Summary!E12</f>
        <v>3.5000000000000003E-2</v>
      </c>
      <c r="I30" s="45"/>
      <c r="M30" s="30">
        <v>24</v>
      </c>
      <c r="N30" s="34">
        <f t="shared" si="3"/>
        <v>904337.46436147531</v>
      </c>
      <c r="O30" s="35">
        <f t="shared" si="0"/>
        <v>1.2920299678352352</v>
      </c>
      <c r="P30" s="36">
        <f>'Owner Occupier'!$D$38</f>
        <v>29163.973452458908</v>
      </c>
      <c r="Q30" s="37">
        <f>'Owner Occupier'!$H$30</f>
        <v>3.5000000000000003E-2</v>
      </c>
      <c r="R30" s="38">
        <f>'Owner Occupier'!$D$24</f>
        <v>505990</v>
      </c>
      <c r="S30" s="38">
        <f>'Owner Occupier'!$D$40</f>
        <v>488280.35</v>
      </c>
      <c r="T30" s="39">
        <f t="shared" si="1"/>
        <v>649351.38124568085</v>
      </c>
      <c r="U30" s="39">
        <f>S30-_xlfn.XLOOKUP($M30*12,'FHA Amotization'!$A$4:$A$363,'FHA Amotization'!$E$4:$E$363,0,0,1)</f>
        <v>335859.97980299208</v>
      </c>
      <c r="V30" s="39">
        <f>(R30+T30)*'Owner Occupier'!$H$35</f>
        <v>80873.896687197674</v>
      </c>
      <c r="W30" s="36">
        <f t="shared" si="2"/>
        <v>-545373.40110968635</v>
      </c>
    </row>
    <row r="31" spans="1:26" x14ac:dyDescent="0.25">
      <c r="A31" s="10"/>
      <c r="B31" s="56" t="s">
        <v>3</v>
      </c>
      <c r="C31" s="56"/>
      <c r="D31" s="61">
        <f>H37</f>
        <v>362778.89206542278</v>
      </c>
      <c r="E31" s="45"/>
      <c r="F31" s="43"/>
      <c r="G31" s="44" t="s">
        <v>27</v>
      </c>
      <c r="H31" s="79">
        <f>Summary!E13</f>
        <v>15</v>
      </c>
      <c r="I31" s="45"/>
      <c r="M31" s="30">
        <v>25</v>
      </c>
      <c r="N31" s="34">
        <f t="shared" si="3"/>
        <v>964730.98531605757</v>
      </c>
      <c r="O31" s="35">
        <f t="shared" si="0"/>
        <v>1.3231818179901931</v>
      </c>
      <c r="P31" s="36">
        <f>'Owner Occupier'!$D$38</f>
        <v>29163.973452458908</v>
      </c>
      <c r="Q31" s="37">
        <f>'Owner Occupier'!$H$30</f>
        <v>3.5000000000000003E-2</v>
      </c>
      <c r="R31" s="38">
        <f>'Owner Occupier'!$D$24</f>
        <v>505990</v>
      </c>
      <c r="S31" s="38">
        <f>'Owner Occupier'!$D$40</f>
        <v>488280.35</v>
      </c>
      <c r="T31" s="39">
        <f t="shared" si="1"/>
        <v>689788.32958927937</v>
      </c>
      <c r="U31" s="39">
        <f>S31-_xlfn.XLOOKUP($M31*12,'FHA Amotization'!$A$4:$A$363,'FHA Amotization'!$E$4:$E$363,0,0,1)</f>
        <v>358647.13879802777</v>
      </c>
      <c r="V31" s="39">
        <f>(R31+T31)*'Owner Occupier'!$H$35</f>
        <v>83704.48307124956</v>
      </c>
      <c r="W31" s="36">
        <f t="shared" si="2"/>
        <v>-568097.29282258998</v>
      </c>
    </row>
    <row r="32" spans="1:26" x14ac:dyDescent="0.25">
      <c r="A32" s="10"/>
      <c r="B32" s="56" t="s">
        <v>4</v>
      </c>
      <c r="C32" s="19"/>
      <c r="D32" s="89">
        <f>H38</f>
        <v>0.82928547135229436</v>
      </c>
      <c r="E32" s="16"/>
      <c r="F32" s="43"/>
      <c r="G32" s="56" t="str">
        <f>CONCATENATE("Appreciation After ",H31," Years")</f>
        <v>Appreciation After 15 Years</v>
      </c>
      <c r="H32" s="58">
        <f>$D$34*(1+H30)^H31-$D$34</f>
        <v>341719.75487228506</v>
      </c>
      <c r="I32" s="45"/>
      <c r="M32" s="30">
        <v>26</v>
      </c>
      <c r="N32" s="34">
        <f t="shared" si="3"/>
        <v>1027428.2723712533</v>
      </c>
      <c r="O32" s="35">
        <f t="shared" si="0"/>
        <v>1.3549755858438151</v>
      </c>
      <c r="P32" s="36">
        <f>'Owner Occupier'!$D$38</f>
        <v>29163.973452458908</v>
      </c>
      <c r="Q32" s="37">
        <f>'Owner Occupier'!$H$30</f>
        <v>3.5000000000000003E-2</v>
      </c>
      <c r="R32" s="38">
        <f>'Owner Occupier'!$D$24</f>
        <v>505990</v>
      </c>
      <c r="S32" s="38">
        <f>'Owner Occupier'!$D$40</f>
        <v>488280.35</v>
      </c>
      <c r="T32" s="39">
        <f t="shared" si="1"/>
        <v>731640.57112490432</v>
      </c>
      <c r="U32" s="39">
        <f>S32-_xlfn.XLOOKUP($M32*12,'FHA Amotization'!$A$4:$A$363,'FHA Amotization'!$E$4:$E$363,0,0,1)</f>
        <v>382421.84122509236</v>
      </c>
      <c r="V32" s="39">
        <f>(R32+T32)*'Owner Occupier'!$H$35</f>
        <v>86634.139978743304</v>
      </c>
      <c r="W32" s="36">
        <f t="shared" si="2"/>
        <v>-590821.18453549361</v>
      </c>
    </row>
    <row r="33" spans="1:23" ht="18" x14ac:dyDescent="0.25">
      <c r="A33" s="10"/>
      <c r="B33" s="46" t="s">
        <v>6</v>
      </c>
      <c r="C33" s="46"/>
      <c r="D33" s="47"/>
      <c r="E33" s="48"/>
      <c r="F33" s="43"/>
      <c r="G33" s="56"/>
      <c r="H33" s="64"/>
      <c r="I33" s="45"/>
      <c r="M33" s="30">
        <v>27</v>
      </c>
      <c r="N33" s="34">
        <f t="shared" si="3"/>
        <v>1092518.1911975632</v>
      </c>
      <c r="O33" s="35">
        <f>N33/P33/M33</f>
        <v>1.3874528029241928</v>
      </c>
      <c r="P33" s="36">
        <f>'Owner Occupier'!$D$38</f>
        <v>29163.973452458908</v>
      </c>
      <c r="Q33" s="37">
        <f>'Owner Occupier'!$H$30</f>
        <v>3.5000000000000003E-2</v>
      </c>
      <c r="R33" s="38">
        <f>'Owner Occupier'!$D$24</f>
        <v>505990</v>
      </c>
      <c r="S33" s="38">
        <f>'Owner Occupier'!$D$40</f>
        <v>488280.35</v>
      </c>
      <c r="T33" s="39">
        <f t="shared" si="1"/>
        <v>774957.6411142759</v>
      </c>
      <c r="U33" s="39">
        <f>S33-_xlfn.XLOOKUP($M33*12,'FHA Amotization'!$A$4:$A$363,'FHA Amotization'!$E$4:$E$363,0,0,1)</f>
        <v>407226.88496128662</v>
      </c>
      <c r="V33" s="39">
        <f>(R33+T33)*'Owner Occupier'!$H$35</f>
        <v>89666.334877999325</v>
      </c>
      <c r="W33" s="36">
        <f t="shared" si="2"/>
        <v>-613545.07624839712</v>
      </c>
    </row>
    <row r="34" spans="1:23" x14ac:dyDescent="0.25">
      <c r="A34" s="10"/>
      <c r="B34" s="44" t="s">
        <v>84</v>
      </c>
      <c r="C34" s="44"/>
      <c r="D34" s="50">
        <f>Summary!E8</f>
        <v>505990</v>
      </c>
      <c r="E34" s="45"/>
      <c r="F34" s="43"/>
      <c r="G34" s="56" t="s">
        <v>112</v>
      </c>
      <c r="H34" s="58">
        <f>_xlfn.XLOOKUP($H$31*12,'FHA Amotization'!A4:A363,'FHA Amotization'!G4:G363,0,0,1)</f>
        <v>80398.820034197721</v>
      </c>
      <c r="I34" s="71"/>
      <c r="M34" s="30">
        <v>28</v>
      </c>
      <c r="N34" s="34">
        <f t="shared" si="3"/>
        <v>1160093.0746005138</v>
      </c>
      <c r="O34" s="35">
        <f>N34/P34/M34</f>
        <v>1.420653313547495</v>
      </c>
      <c r="P34" s="36">
        <f>'Owner Occupier'!$D$38</f>
        <v>29163.973452458908</v>
      </c>
      <c r="Q34" s="37">
        <f>'Owner Occupier'!$H$30</f>
        <v>3.5000000000000003E-2</v>
      </c>
      <c r="R34" s="38">
        <f>'Owner Occupier'!$D$24</f>
        <v>505990</v>
      </c>
      <c r="S34" s="38">
        <f>'Owner Occupier'!$D$40</f>
        <v>488280.35</v>
      </c>
      <c r="T34" s="39">
        <f t="shared" si="1"/>
        <v>819790.80855327542</v>
      </c>
      <c r="U34" s="39">
        <f>S34-_xlfn.XLOOKUP($M34*12,'FHA Amotization'!$A$4:$A$363,'FHA Amotization'!$E$4:$E$363,0,0,1)</f>
        <v>433106.92264596763</v>
      </c>
      <c r="V34" s="39">
        <f>(R34+T34)*'Owner Occupier'!$H$35</f>
        <v>92804.656598729285</v>
      </c>
      <c r="W34" s="36">
        <f t="shared" si="2"/>
        <v>-636268.96796130075</v>
      </c>
    </row>
    <row r="35" spans="1:23" x14ac:dyDescent="0.25">
      <c r="A35" s="10"/>
      <c r="B35" s="44" t="s">
        <v>8</v>
      </c>
      <c r="C35" s="84">
        <f>Summary!E9</f>
        <v>3.5000000000000003E-2</v>
      </c>
      <c r="D35" s="52">
        <f>C35*D34</f>
        <v>17709.650000000001</v>
      </c>
      <c r="E35" s="45"/>
      <c r="F35" s="43"/>
      <c r="G35" s="44" t="s">
        <v>31</v>
      </c>
      <c r="H35" s="51">
        <v>7.0000000000000007E-2</v>
      </c>
      <c r="I35" s="45"/>
      <c r="M35" s="30">
        <v>29</v>
      </c>
      <c r="N35" s="34">
        <f t="shared" si="3"/>
        <v>1230248.8593348647</v>
      </c>
      <c r="O35" s="35">
        <f>N35/P35/M35</f>
        <v>1.4546157274822973</v>
      </c>
      <c r="P35" s="36">
        <f>'Owner Occupier'!$D$38</f>
        <v>29163.973452458908</v>
      </c>
      <c r="Q35" s="37">
        <f>'Owner Occupier'!$H$30</f>
        <v>3.5000000000000003E-2</v>
      </c>
      <c r="R35" s="38">
        <f>'Owner Occupier'!$D$24</f>
        <v>505990</v>
      </c>
      <c r="S35" s="38">
        <f>'Owner Occupier'!$D$40</f>
        <v>488280.35</v>
      </c>
      <c r="T35" s="39">
        <f t="shared" si="1"/>
        <v>866193.13685263996</v>
      </c>
      <c r="U35" s="39">
        <f>S35-_xlfn.XLOOKUP($M35*12,'FHA Amotization'!$A$4:$A$363,'FHA Amotization'!$E$4:$E$363,0,0,1)</f>
        <v>460108.54206190957</v>
      </c>
      <c r="V35" s="39">
        <f>(R35+T35)*'Owner Occupier'!$H$35</f>
        <v>96052.819579684801</v>
      </c>
      <c r="W35" s="36">
        <f t="shared" si="2"/>
        <v>-658992.85967420437</v>
      </c>
    </row>
    <row r="36" spans="1:23" x14ac:dyDescent="0.25">
      <c r="A36" s="10"/>
      <c r="B36" s="44" t="s">
        <v>73</v>
      </c>
      <c r="C36" s="44"/>
      <c r="D36" s="52">
        <f>'Closing Costs'!C28</f>
        <v>11454.323452458904</v>
      </c>
      <c r="E36" s="60"/>
      <c r="F36" s="43"/>
      <c r="G36" s="44" t="s">
        <v>32</v>
      </c>
      <c r="H36" s="52">
        <f>(D34+H32)*$H$35</f>
        <v>59339.682841059963</v>
      </c>
      <c r="I36" s="45"/>
      <c r="M36" s="30">
        <v>30</v>
      </c>
      <c r="N36" s="34">
        <f t="shared" si="3"/>
        <v>1303085.2283775082</v>
      </c>
      <c r="O36" s="35">
        <f>N36/P36/M36</f>
        <v>1.4893777883201313</v>
      </c>
      <c r="P36" s="36">
        <f>'Owner Occupier'!$D$38</f>
        <v>29163.973452458908</v>
      </c>
      <c r="Q36" s="37">
        <f>'Owner Occupier'!$H$30</f>
        <v>3.5000000000000003E-2</v>
      </c>
      <c r="R36" s="38">
        <f>'Owner Occupier'!$D$24</f>
        <v>505990</v>
      </c>
      <c r="S36" s="38">
        <f>'Owner Occupier'!$D$40</f>
        <v>488280.35</v>
      </c>
      <c r="T36" s="39">
        <f t="shared" si="1"/>
        <v>914219.54664248228</v>
      </c>
      <c r="U36" s="39">
        <f>S36-_xlfn.XLOOKUP($M36*12,'FHA Amotization'!$A$4:$A$363,'FHA Amotization'!$E$4:$E$363,0,0,1)</f>
        <v>488280.34999999974</v>
      </c>
      <c r="V36" s="39">
        <f>(R36+T36)*'Owner Occupier'!$H$35</f>
        <v>99414.668264973763</v>
      </c>
      <c r="W36" s="36">
        <f t="shared" si="2"/>
        <v>-681716.75138710788</v>
      </c>
    </row>
    <row r="37" spans="1:23" x14ac:dyDescent="0.25">
      <c r="A37" s="10"/>
      <c r="B37" s="44" t="s">
        <v>9</v>
      </c>
      <c r="C37" s="44"/>
      <c r="D37" s="50">
        <v>0</v>
      </c>
      <c r="E37" s="45"/>
      <c r="F37" s="43"/>
      <c r="G37" s="56" t="s">
        <v>3</v>
      </c>
      <c r="H37" s="58">
        <f>+H32+H34-H36</f>
        <v>362778.89206542278</v>
      </c>
      <c r="I37" s="45"/>
      <c r="K37" s="2"/>
    </row>
    <row r="38" spans="1:23" x14ac:dyDescent="0.25">
      <c r="A38" s="10"/>
      <c r="B38" s="56" t="s">
        <v>77</v>
      </c>
      <c r="C38" s="56"/>
      <c r="D38" s="61">
        <f>SUM(D35:D37)</f>
        <v>29163.973452458908</v>
      </c>
      <c r="E38" s="45"/>
      <c r="F38" s="43"/>
      <c r="G38" s="56" t="s">
        <v>4</v>
      </c>
      <c r="H38" s="88">
        <f>H37/D38/H31</f>
        <v>0.82928547135229436</v>
      </c>
      <c r="I38" s="45"/>
      <c r="N38" s="34"/>
    </row>
    <row r="39" spans="1:23" ht="18" x14ac:dyDescent="0.25">
      <c r="A39" s="10"/>
      <c r="B39" s="46" t="s">
        <v>10</v>
      </c>
      <c r="C39" s="46"/>
      <c r="D39" s="48" t="s">
        <v>11</v>
      </c>
      <c r="E39" s="48" t="s">
        <v>12</v>
      </c>
      <c r="F39" s="43"/>
      <c r="G39" s="10"/>
      <c r="H39" s="10"/>
      <c r="I39" s="45"/>
    </row>
    <row r="40" spans="1:23" ht="18" x14ac:dyDescent="0.25">
      <c r="A40" s="10"/>
      <c r="B40" s="44" t="s">
        <v>13</v>
      </c>
      <c r="C40" s="44"/>
      <c r="D40" s="52">
        <f>D34-D35</f>
        <v>488280.35</v>
      </c>
      <c r="E40" s="45"/>
      <c r="F40" s="43"/>
      <c r="G40" s="46" t="s">
        <v>33</v>
      </c>
      <c r="H40" s="48"/>
      <c r="I40" s="48"/>
    </row>
    <row r="41" spans="1:23" x14ac:dyDescent="0.25">
      <c r="A41" s="10"/>
      <c r="B41" s="44" t="s">
        <v>82</v>
      </c>
      <c r="C41" s="44"/>
      <c r="D41" s="63">
        <f>Summary!E10</f>
        <v>4.2500000000000003E-2</v>
      </c>
      <c r="E41" s="45"/>
      <c r="F41" s="43"/>
      <c r="G41" s="56" t="s">
        <v>87</v>
      </c>
      <c r="H41" s="66"/>
      <c r="I41" s="58">
        <f>((D34-68000)/27.5)*0.5</f>
        <v>7963.454545454545</v>
      </c>
    </row>
    <row r="42" spans="1:23" x14ac:dyDescent="0.25">
      <c r="A42" s="10"/>
      <c r="B42" s="44" t="s">
        <v>14</v>
      </c>
      <c r="C42" s="44"/>
      <c r="D42" s="55">
        <v>30</v>
      </c>
      <c r="E42" s="45"/>
      <c r="F42" s="43"/>
      <c r="G42" s="10"/>
      <c r="H42" s="10"/>
      <c r="I42" s="10"/>
    </row>
    <row r="43" spans="1:23" ht="18" x14ac:dyDescent="0.25">
      <c r="A43" s="10"/>
      <c r="B43" s="56" t="s">
        <v>15</v>
      </c>
      <c r="C43" s="56"/>
      <c r="D43" s="61">
        <f>-PMT(D41/12,D42*12,$D$40,0,0)</f>
        <v>2402.0458219525212</v>
      </c>
      <c r="E43" s="59">
        <f>D43*12</f>
        <v>28824.549863430257</v>
      </c>
      <c r="F43" s="43"/>
      <c r="G43" s="46" t="s">
        <v>34</v>
      </c>
      <c r="H43" s="48"/>
      <c r="I43" s="48"/>
    </row>
    <row r="44" spans="1:23" ht="18" x14ac:dyDescent="0.25">
      <c r="A44" s="10"/>
      <c r="B44" s="46" t="s">
        <v>113</v>
      </c>
      <c r="C44" s="46"/>
      <c r="D44" s="48" t="s">
        <v>11</v>
      </c>
      <c r="E44" s="48" t="s">
        <v>12</v>
      </c>
      <c r="F44" s="43"/>
      <c r="G44" s="44" t="s">
        <v>35</v>
      </c>
      <c r="H44" s="44"/>
      <c r="I44" s="67">
        <v>6</v>
      </c>
    </row>
    <row r="45" spans="1:23" x14ac:dyDescent="0.25">
      <c r="A45" s="10"/>
      <c r="B45" s="44" t="s">
        <v>16</v>
      </c>
      <c r="C45" s="44"/>
      <c r="D45" s="52">
        <f>D43</f>
        <v>2402.0458219525212</v>
      </c>
      <c r="E45" s="53">
        <f>E43</f>
        <v>28824.549863430257</v>
      </c>
      <c r="F45" s="43"/>
      <c r="G45" s="56" t="s">
        <v>34</v>
      </c>
      <c r="H45" s="68"/>
      <c r="I45" s="58">
        <f>MIN((D56-D52-D54),3500)*I44*0.5</f>
        <v>10500</v>
      </c>
    </row>
    <row r="46" spans="1:23" x14ac:dyDescent="0.25">
      <c r="A46" s="10"/>
      <c r="B46" s="44" t="s">
        <v>17</v>
      </c>
      <c r="C46" s="82">
        <v>2.0030539999999999E-2</v>
      </c>
      <c r="D46" s="52">
        <f>C46*0.9*D34/12</f>
        <v>760.14397009499999</v>
      </c>
      <c r="E46" s="53">
        <f>D46*12</f>
        <v>9121.7276411399998</v>
      </c>
      <c r="F46" s="43"/>
      <c r="G46" s="10"/>
      <c r="H46" s="10"/>
      <c r="I46" s="10"/>
    </row>
    <row r="47" spans="1:23" x14ac:dyDescent="0.25">
      <c r="A47" s="10"/>
      <c r="B47" s="44" t="s">
        <v>88</v>
      </c>
      <c r="C47" s="44"/>
      <c r="D47" s="72">
        <f>E47/12</f>
        <v>101.72507291666666</v>
      </c>
      <c r="E47" s="74">
        <f>0.0025*D40</f>
        <v>1220.700875</v>
      </c>
      <c r="F47" s="43"/>
      <c r="G47" s="10"/>
      <c r="H47" s="10"/>
      <c r="I47" s="10"/>
    </row>
    <row r="48" spans="1:23" x14ac:dyDescent="0.25">
      <c r="A48" s="10"/>
      <c r="B48" s="44" t="s">
        <v>86</v>
      </c>
      <c r="C48" s="44"/>
      <c r="D48" s="50">
        <v>105</v>
      </c>
      <c r="E48" s="53">
        <f>D48*12</f>
        <v>1260</v>
      </c>
      <c r="F48" s="43"/>
      <c r="G48" s="10"/>
      <c r="H48" s="10"/>
      <c r="I48" s="10"/>
    </row>
    <row r="49" spans="1:9" x14ac:dyDescent="0.25">
      <c r="A49" s="10"/>
      <c r="B49" s="56" t="s">
        <v>125</v>
      </c>
      <c r="C49" s="1"/>
      <c r="D49" s="61">
        <f>SUM(D45:D48)</f>
        <v>3368.9148649641879</v>
      </c>
      <c r="E49" s="83">
        <f>SUM(E45:E48)</f>
        <v>40426.978379570261</v>
      </c>
      <c r="F49" s="43"/>
      <c r="G49" s="10"/>
      <c r="H49" s="10"/>
      <c r="I49" s="10"/>
    </row>
    <row r="50" spans="1:9" x14ac:dyDescent="0.25">
      <c r="A50" s="10"/>
      <c r="B50" s="44"/>
      <c r="D50" s="55"/>
      <c r="E50" s="54"/>
      <c r="F50" s="43"/>
      <c r="G50" s="10"/>
      <c r="H50" s="10"/>
      <c r="I50" s="10"/>
    </row>
    <row r="51" spans="1:9" x14ac:dyDescent="0.25">
      <c r="A51" s="10"/>
      <c r="B51" s="44" t="s">
        <v>124</v>
      </c>
      <c r="C51" s="44"/>
      <c r="D51" s="50">
        <f>1000/12</f>
        <v>83.333333333333329</v>
      </c>
      <c r="E51" s="53">
        <f>D51*12</f>
        <v>1000</v>
      </c>
      <c r="F51" s="43"/>
      <c r="G51" s="10"/>
      <c r="H51" s="10"/>
      <c r="I51" s="10"/>
    </row>
    <row r="52" spans="1:9" x14ac:dyDescent="0.25">
      <c r="A52" s="10"/>
      <c r="B52" s="44" t="s">
        <v>18</v>
      </c>
      <c r="C52" s="81">
        <v>0.06</v>
      </c>
      <c r="D52" s="52">
        <f>(H24-D54)*C52</f>
        <v>106.21499999999999</v>
      </c>
      <c r="E52" s="53">
        <f>D52*12</f>
        <v>1274.58</v>
      </c>
      <c r="F52" s="43"/>
      <c r="G52" s="10"/>
      <c r="H52" s="10"/>
      <c r="I52" s="10"/>
    </row>
    <row r="53" spans="1:9" x14ac:dyDescent="0.25">
      <c r="A53" s="10"/>
      <c r="B53" s="44" t="s">
        <v>128</v>
      </c>
      <c r="C53" s="81">
        <v>0.5</v>
      </c>
      <c r="D53" s="52">
        <f>(C53*H24)/18</f>
        <v>50.694444444444443</v>
      </c>
      <c r="E53" s="53">
        <f>D53*12</f>
        <v>608.33333333333326</v>
      </c>
      <c r="F53" s="43"/>
      <c r="G53" s="10"/>
      <c r="H53" s="10"/>
      <c r="I53" s="10"/>
    </row>
    <row r="54" spans="1:9" x14ac:dyDescent="0.25">
      <c r="A54" s="10"/>
      <c r="B54" s="44" t="s">
        <v>20</v>
      </c>
      <c r="C54" s="81">
        <v>0.03</v>
      </c>
      <c r="D54" s="52">
        <f>C54*H24</f>
        <v>54.75</v>
      </c>
      <c r="E54" s="53">
        <f>D54*12</f>
        <v>657</v>
      </c>
      <c r="F54" s="43"/>
      <c r="G54" s="10"/>
      <c r="H54" s="10"/>
      <c r="I54" s="10"/>
    </row>
    <row r="55" spans="1:9" x14ac:dyDescent="0.25">
      <c r="A55" s="10"/>
      <c r="B55" s="44" t="s">
        <v>21</v>
      </c>
      <c r="C55" s="81">
        <v>0.03</v>
      </c>
      <c r="D55" s="52">
        <f>C55*H24</f>
        <v>54.75</v>
      </c>
      <c r="E55" s="53">
        <f>D55*12</f>
        <v>657</v>
      </c>
      <c r="F55" s="43"/>
      <c r="G55" s="10"/>
      <c r="H55" s="10"/>
      <c r="I55" s="10"/>
    </row>
    <row r="56" spans="1:9" x14ac:dyDescent="0.25">
      <c r="A56" s="10"/>
      <c r="B56" s="56" t="s">
        <v>114</v>
      </c>
      <c r="C56" s="56"/>
      <c r="D56" s="58">
        <f>SUM(D49:D55)</f>
        <v>3718.6576427419659</v>
      </c>
      <c r="E56" s="58">
        <f>SUM(E49:E55)</f>
        <v>44623.891712903598</v>
      </c>
      <c r="F56" s="43"/>
      <c r="G56" s="10"/>
      <c r="H56" s="10"/>
      <c r="I56" s="10"/>
    </row>
    <row r="57" spans="1:9" x14ac:dyDescent="0.25">
      <c r="A57" s="10"/>
      <c r="B57" s="56"/>
      <c r="C57" s="10"/>
      <c r="D57" s="87"/>
      <c r="E57" s="87"/>
      <c r="F57" s="43"/>
      <c r="G57" s="10"/>
      <c r="H57" s="10"/>
      <c r="I57" s="10"/>
    </row>
    <row r="58" spans="1:9" x14ac:dyDescent="0.25">
      <c r="A58" s="10"/>
      <c r="B58" s="56"/>
      <c r="C58" s="10"/>
      <c r="D58" s="87"/>
      <c r="E58" s="87"/>
      <c r="F58" s="43"/>
      <c r="G58" s="10"/>
      <c r="H58" s="10"/>
      <c r="I58" s="10"/>
    </row>
    <row r="59" spans="1:9" x14ac:dyDescent="0.25">
      <c r="A59" s="10"/>
      <c r="B59" s="18" t="s">
        <v>69</v>
      </c>
      <c r="C59" s="18"/>
      <c r="D59" s="17"/>
      <c r="E59" s="16"/>
      <c r="F59" s="10"/>
      <c r="G59" s="10"/>
      <c r="H59" s="10"/>
      <c r="I59" s="10"/>
    </row>
    <row r="60" spans="1:9" ht="55.9" customHeight="1" x14ac:dyDescent="0.25">
      <c r="A60" s="10"/>
      <c r="B60" s="112" t="s">
        <v>70</v>
      </c>
      <c r="C60" s="112"/>
      <c r="D60" s="112"/>
      <c r="E60" s="112"/>
      <c r="F60" s="112"/>
      <c r="G60" s="112"/>
      <c r="H60" s="112"/>
      <c r="I60" s="112"/>
    </row>
    <row r="61" spans="1:9" ht="18" x14ac:dyDescent="0.25">
      <c r="A61" s="10"/>
      <c r="B61" s="111" t="s">
        <v>71</v>
      </c>
      <c r="C61" s="111"/>
      <c r="D61" s="111"/>
      <c r="E61" s="111"/>
      <c r="F61" s="111"/>
      <c r="G61" s="111"/>
      <c r="H61" s="111"/>
      <c r="I61" s="111"/>
    </row>
    <row r="62" spans="1:9" x14ac:dyDescent="0.25">
      <c r="F62" s="10"/>
    </row>
    <row r="63" spans="1:9" x14ac:dyDescent="0.25">
      <c r="F63" s="10"/>
    </row>
    <row r="64" spans="1:9" x14ac:dyDescent="0.25">
      <c r="F64" s="10"/>
    </row>
    <row r="65" spans="6:6" x14ac:dyDescent="0.25">
      <c r="F65" s="10"/>
    </row>
    <row r="66" spans="6:6" x14ac:dyDescent="0.25">
      <c r="F66" s="10"/>
    </row>
    <row r="67" spans="6:6" x14ac:dyDescent="0.25">
      <c r="F67" s="10"/>
    </row>
    <row r="68" spans="6:6" x14ac:dyDescent="0.25">
      <c r="F68" s="10"/>
    </row>
    <row r="69" spans="6:6" x14ac:dyDescent="0.25">
      <c r="F69" s="10"/>
    </row>
  </sheetData>
  <sheetProtection selectLockedCells="1"/>
  <mergeCells count="6">
    <mergeCell ref="B61:I61"/>
    <mergeCell ref="B60:I60"/>
    <mergeCell ref="B1:I1"/>
    <mergeCell ref="B2:I2"/>
    <mergeCell ref="B3:I3"/>
    <mergeCell ref="B4:I4"/>
  </mergeCells>
  <pageMargins left="0.7" right="0.7" top="0.75" bottom="0.75" header="0.3" footer="0.3"/>
  <pageSetup scale="51" orientation="portrait"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2D145C42-4DA8-4B53-8E16-A650A69D3554}">
          <x14:formula1>
            <xm:f>DAta!$A$2:$A$23</xm:f>
          </x14:formula1>
          <xm:sqref>C35</xm:sqref>
        </x14:dataValidation>
        <x14:dataValidation type="list" allowBlank="1" showInputMessage="1" showErrorMessage="1" xr:uid="{78EA05F8-9551-4453-865B-AE6AA2E044AA}">
          <x14:formula1>
            <xm:f>DAta!$C$2:$C$11</xm:f>
          </x14:formula1>
          <xm:sqref>C54</xm:sqref>
        </x14:dataValidation>
        <x14:dataValidation type="list" allowBlank="1" showInputMessage="1" showErrorMessage="1" xr:uid="{4A93B6CD-B338-45C7-B425-89FF9464AD9E}">
          <x14:formula1>
            <xm:f>DAta!$E$2:$E$11</xm:f>
          </x14:formula1>
          <xm:sqref>C55</xm:sqref>
        </x14:dataValidation>
        <x14:dataValidation type="list" allowBlank="1" showInputMessage="1" showErrorMessage="1" xr:uid="{E43978D7-47AE-4B52-A406-915F8A794452}">
          <x14:formula1>
            <xm:f>DAta!$H$2:$H$31</xm:f>
          </x14:formula1>
          <xm:sqref>H31</xm:sqref>
        </x14:dataValidation>
        <x14:dataValidation type="list" allowBlank="1" showInputMessage="1" showErrorMessage="1" xr:uid="{C81CACBD-755A-487D-8C73-B1DF00AE9602}">
          <x14:formula1>
            <xm:f>DAta!$F$2:$F$12</xm:f>
          </x14:formula1>
          <xm:sqref>C52</xm:sqref>
        </x14:dataValidation>
        <x14:dataValidation type="list" allowBlank="1" showInputMessage="1" showErrorMessage="1" xr:uid="{C28D86BE-7283-47DE-B2DB-52AE6FA46654}">
          <x14:formula1>
            <xm:f>DAta!$H$2:$H$7</xm:f>
          </x14:formula1>
          <xm:sqref>I44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E144C-EF48-4C59-BF01-2FEB3ECCCD4C}">
  <sheetPr codeName="Sheet2"/>
  <dimension ref="A1:C31"/>
  <sheetViews>
    <sheetView topLeftCell="A3" workbookViewId="0">
      <selection activeCell="G26" sqref="G26"/>
    </sheetView>
  </sheetViews>
  <sheetFormatPr defaultRowHeight="15" x14ac:dyDescent="0.25"/>
  <cols>
    <col min="1" max="1" width="40.28515625" bestFit="1" customWidth="1"/>
    <col min="2" max="2" width="4.85546875" customWidth="1"/>
    <col min="3" max="3" width="17.28515625" bestFit="1" customWidth="1"/>
    <col min="5" max="5" width="11" bestFit="1" customWidth="1"/>
    <col min="7" max="7" width="11" bestFit="1" customWidth="1"/>
  </cols>
  <sheetData>
    <row r="1" spans="1:3" ht="15.75" customHeight="1" x14ac:dyDescent="0.25">
      <c r="A1" s="7" t="s">
        <v>36</v>
      </c>
      <c r="B1" s="7"/>
      <c r="C1" s="7"/>
    </row>
    <row r="2" spans="1:3" ht="15.75" customHeight="1" x14ac:dyDescent="0.25">
      <c r="A2" s="69"/>
      <c r="B2" s="69"/>
      <c r="C2" s="69"/>
    </row>
    <row r="3" spans="1:3" ht="15.75" x14ac:dyDescent="0.25">
      <c r="A3" s="17" t="s">
        <v>37</v>
      </c>
      <c r="B3" s="11"/>
      <c r="C3" s="21">
        <v>895</v>
      </c>
    </row>
    <row r="4" spans="1:3" x14ac:dyDescent="0.25">
      <c r="A4" s="17" t="s">
        <v>38</v>
      </c>
      <c r="B4" s="13"/>
      <c r="C4" s="21">
        <v>605</v>
      </c>
    </row>
    <row r="5" spans="1:3" x14ac:dyDescent="0.25">
      <c r="A5" s="17" t="s">
        <v>39</v>
      </c>
      <c r="B5" s="10"/>
      <c r="C5" s="21">
        <v>70</v>
      </c>
    </row>
    <row r="6" spans="1:3" ht="15.75" x14ac:dyDescent="0.25">
      <c r="A6" s="24" t="s">
        <v>40</v>
      </c>
      <c r="B6" s="11"/>
      <c r="C6" s="27">
        <f>SUM(C3:C5)</f>
        <v>1570</v>
      </c>
    </row>
    <row r="7" spans="1:3" ht="15.75" x14ac:dyDescent="0.25">
      <c r="A7" s="11"/>
      <c r="B7" s="11"/>
      <c r="C7" s="25"/>
    </row>
    <row r="8" spans="1:3" ht="15.75" x14ac:dyDescent="0.25">
      <c r="A8" s="17" t="str">
        <f>IF(K25="No","Appraisal Pd Outside of Closing","Appraisal Fee ")</f>
        <v xml:space="preserve">Appraisal Fee </v>
      </c>
      <c r="B8" s="11"/>
      <c r="C8" s="21">
        <v>675</v>
      </c>
    </row>
    <row r="9" spans="1:3" ht="15.75" x14ac:dyDescent="0.25">
      <c r="A9" s="17" t="s">
        <v>41</v>
      </c>
      <c r="B9" s="11"/>
      <c r="C9" s="21">
        <v>100</v>
      </c>
    </row>
    <row r="10" spans="1:3" ht="15.75" x14ac:dyDescent="0.25">
      <c r="A10" s="17" t="s">
        <v>42</v>
      </c>
      <c r="B10" s="11"/>
      <c r="C10" s="21">
        <v>94</v>
      </c>
    </row>
    <row r="11" spans="1:3" ht="15.75" x14ac:dyDescent="0.25">
      <c r="A11" s="17" t="s">
        <v>43</v>
      </c>
      <c r="B11" s="11"/>
      <c r="C11" s="21">
        <v>142</v>
      </c>
    </row>
    <row r="12" spans="1:3" ht="15.75" x14ac:dyDescent="0.25">
      <c r="A12" s="17" t="s">
        <v>44</v>
      </c>
      <c r="B12" s="11"/>
      <c r="C12" s="21">
        <v>950</v>
      </c>
    </row>
    <row r="13" spans="1:3" ht="15.75" x14ac:dyDescent="0.25">
      <c r="A13" s="17" t="s">
        <v>45</v>
      </c>
      <c r="B13" s="11"/>
      <c r="C13" s="21">
        <v>2940</v>
      </c>
    </row>
    <row r="14" spans="1:3" ht="15.75" x14ac:dyDescent="0.25">
      <c r="A14" s="17" t="s">
        <v>46</v>
      </c>
      <c r="B14" s="11"/>
      <c r="C14" s="21">
        <v>560.44000000000005</v>
      </c>
    </row>
    <row r="15" spans="1:3" ht="15.75" x14ac:dyDescent="0.25">
      <c r="A15" s="17" t="s">
        <v>47</v>
      </c>
      <c r="B15" s="11"/>
      <c r="C15" s="21">
        <v>800</v>
      </c>
    </row>
    <row r="16" spans="1:3" ht="15.75" x14ac:dyDescent="0.25">
      <c r="A16" s="24" t="s">
        <v>48</v>
      </c>
      <c r="B16" s="19"/>
      <c r="C16" s="27">
        <f>SUM(C6:C15)</f>
        <v>7831.4400000000005</v>
      </c>
    </row>
    <row r="17" spans="1:3" ht="15.75" x14ac:dyDescent="0.25">
      <c r="A17" s="12"/>
      <c r="B17" s="19"/>
      <c r="C17" s="26"/>
    </row>
    <row r="18" spans="1:3" x14ac:dyDescent="0.25">
      <c r="A18" s="17" t="s">
        <v>75</v>
      </c>
      <c r="B18" s="10"/>
      <c r="C18" s="21">
        <f>(('With Loan'!D40*'With Loan'!D41)/365)*15</f>
        <v>330.76541095890411</v>
      </c>
    </row>
    <row r="19" spans="1:3" x14ac:dyDescent="0.25">
      <c r="A19" s="17" t="s">
        <v>49</v>
      </c>
      <c r="B19" s="10"/>
      <c r="C19" s="21">
        <f>'With Loan'!E47</f>
        <v>1260</v>
      </c>
    </row>
    <row r="20" spans="1:3" x14ac:dyDescent="0.25">
      <c r="A20" s="17" t="s">
        <v>50</v>
      </c>
      <c r="B20" s="10"/>
      <c r="C20" s="21">
        <f>((C19+'With Loan'!E46)/12)*3</f>
        <v>2032.1180414999999</v>
      </c>
    </row>
    <row r="21" spans="1:3" ht="15.75" x14ac:dyDescent="0.25">
      <c r="A21" s="24" t="s">
        <v>51</v>
      </c>
      <c r="B21" s="19"/>
      <c r="C21" s="27">
        <f>SUM(C18:C20)</f>
        <v>3622.8834524589038</v>
      </c>
    </row>
    <row r="22" spans="1:3" ht="15.75" x14ac:dyDescent="0.25">
      <c r="A22" s="11"/>
      <c r="B22" s="10"/>
      <c r="C22" s="20"/>
    </row>
    <row r="23" spans="1:3" ht="15.75" x14ac:dyDescent="0.25">
      <c r="A23" s="24" t="s">
        <v>52</v>
      </c>
      <c r="B23" s="19"/>
      <c r="C23" s="27">
        <f>C21+C16</f>
        <v>11454.323452458904</v>
      </c>
    </row>
    <row r="24" spans="1:3" x14ac:dyDescent="0.25">
      <c r="A24" s="10"/>
      <c r="B24" s="10"/>
      <c r="C24" s="10"/>
    </row>
    <row r="25" spans="1:3" x14ac:dyDescent="0.25">
      <c r="A25" s="28" t="s">
        <v>53</v>
      </c>
      <c r="B25" s="10"/>
      <c r="C25" s="22" t="s">
        <v>54</v>
      </c>
    </row>
    <row r="26" spans="1:3" ht="15.75" x14ac:dyDescent="0.25">
      <c r="A26" s="14" t="s">
        <v>55</v>
      </c>
      <c r="B26" s="10"/>
      <c r="C26" s="23"/>
    </row>
    <row r="27" spans="1:3" x14ac:dyDescent="0.25">
      <c r="A27" s="10"/>
      <c r="B27" s="10"/>
      <c r="C27" s="10"/>
    </row>
    <row r="28" spans="1:3" ht="15.75" x14ac:dyDescent="0.25">
      <c r="A28" s="24" t="s">
        <v>56</v>
      </c>
      <c r="B28" s="10"/>
      <c r="C28" s="27">
        <f>IF(C25="Yes",C26,C23)</f>
        <v>11454.323452458904</v>
      </c>
    </row>
    <row r="31" spans="1:3" x14ac:dyDescent="0.25">
      <c r="C31" s="15"/>
    </row>
  </sheetData>
  <protectedRanges>
    <protectedRange sqref="C6:C7" name="Range1_3"/>
  </protectedRange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66F6416-0D3A-477F-9AA9-2FEA442B5FC7}">
          <x14:formula1>
            <xm:f>DAta!$J$2:$J$3</xm:f>
          </x14:formula1>
          <xm:sqref>C25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C670D-753F-41D5-9D46-B694A30EF4E1}">
  <dimension ref="A1:G363"/>
  <sheetViews>
    <sheetView workbookViewId="0">
      <selection activeCell="F4" sqref="F4:F363"/>
    </sheetView>
  </sheetViews>
  <sheetFormatPr defaultRowHeight="15" x14ac:dyDescent="0.25"/>
  <cols>
    <col min="2" max="2" width="17.28515625" bestFit="1" customWidth="1"/>
    <col min="3" max="3" width="23.5703125" bestFit="1" customWidth="1"/>
    <col min="4" max="4" width="23.5703125" customWidth="1"/>
    <col min="5" max="5" width="17.28515625" bestFit="1" customWidth="1"/>
    <col min="6" max="6" width="16.28515625" bestFit="1" customWidth="1"/>
    <col min="7" max="7" width="26.5703125" bestFit="1" customWidth="1"/>
  </cols>
  <sheetData>
    <row r="1" spans="1:7" ht="18.75" x14ac:dyDescent="0.3">
      <c r="A1" s="115" t="s">
        <v>61</v>
      </c>
      <c r="B1" s="115"/>
      <c r="C1" s="115"/>
      <c r="D1" s="5"/>
      <c r="E1" s="5"/>
    </row>
    <row r="2" spans="1:7" x14ac:dyDescent="0.25">
      <c r="E2" s="15"/>
    </row>
    <row r="3" spans="1:7" x14ac:dyDescent="0.25">
      <c r="A3" s="1" t="s">
        <v>62</v>
      </c>
      <c r="B3" s="1" t="s">
        <v>63</v>
      </c>
      <c r="C3" s="1" t="s">
        <v>64</v>
      </c>
      <c r="D3" s="1" t="s">
        <v>65</v>
      </c>
      <c r="E3" s="1" t="s">
        <v>66</v>
      </c>
      <c r="F3" s="1" t="s">
        <v>80</v>
      </c>
      <c r="G3" s="1" t="s">
        <v>81</v>
      </c>
    </row>
    <row r="4" spans="1:7" x14ac:dyDescent="0.25">
      <c r="A4">
        <v>1</v>
      </c>
      <c r="B4" s="4">
        <f>-PPMT('Owner Occupier'!$D$41/12,'FHA Amotization'!$A4,360,'Owner Occupier'!$D$40,0,0)</f>
        <v>672.71958236918806</v>
      </c>
      <c r="C4" s="4">
        <f>-IPMT('Owner Occupier'!$D$41/12,'FHA Amotization'!$A4,360,'Owner Occupier'!$D$40,0,0)</f>
        <v>1729.3262395833333</v>
      </c>
      <c r="D4" s="4">
        <f>B4+C4</f>
        <v>2402.0458219525212</v>
      </c>
      <c r="E4" s="4">
        <f>'Owner Occupier'!$D$40-'FHA Amotization'!B4</f>
        <v>487607.63041763077</v>
      </c>
      <c r="F4" s="4">
        <f>('Owner Occupier'!$H$24-'Owner Occupier'!$D$52)/('Owner Occupier'!$D$56-'Owner Occupier'!$D$52)*B4</f>
        <v>320.07714494943076</v>
      </c>
      <c r="G4" s="4">
        <f>F4</f>
        <v>320.07714494943076</v>
      </c>
    </row>
    <row r="5" spans="1:7" x14ac:dyDescent="0.25">
      <c r="A5">
        <v>2</v>
      </c>
      <c r="B5" s="4">
        <f>-PPMT('Owner Occupier'!$D$41/12,'FHA Amotization'!$A5,360,'Owner Occupier'!$D$40,0,0)</f>
        <v>675.1021308900788</v>
      </c>
      <c r="C5" s="4">
        <f>-IPMT('Owner Occupier'!$D$41/12,'FHA Amotization'!$A5,360,'Owner Occupier'!$D$40,0,0)</f>
        <v>1726.9436910624427</v>
      </c>
      <c r="D5" s="4">
        <f t="shared" ref="D5:D68" si="0">B5+C5</f>
        <v>2402.0458219525217</v>
      </c>
      <c r="E5" s="3">
        <f>E4-B5</f>
        <v>486932.52828674071</v>
      </c>
      <c r="F5" s="4">
        <f>('Owner Occupier'!$H$24-'Owner Occupier'!$D$52)/('Owner Occupier'!$D$56-'Owner Occupier'!$D$52)*B5</f>
        <v>321.21075150445995</v>
      </c>
      <c r="G5" s="4">
        <f>F5+G4</f>
        <v>641.28789645389065</v>
      </c>
    </row>
    <row r="6" spans="1:7" x14ac:dyDescent="0.25">
      <c r="A6">
        <v>3</v>
      </c>
      <c r="B6" s="4">
        <f>-PPMT('Owner Occupier'!$D$41/12,'FHA Amotization'!$A6,360,'Owner Occupier'!$D$40,0,0)</f>
        <v>677.49311760364787</v>
      </c>
      <c r="C6" s="4">
        <f>-IPMT('Owner Occupier'!$D$41/12,'FHA Amotization'!$A6,360,'Owner Occupier'!$D$40,0,0)</f>
        <v>1724.5527043488735</v>
      </c>
      <c r="D6" s="4">
        <f t="shared" si="0"/>
        <v>2402.0458219525212</v>
      </c>
      <c r="E6" s="3">
        <f t="shared" ref="E6:E69" si="1">E5-B6</f>
        <v>486255.03516913706</v>
      </c>
      <c r="F6" s="4">
        <f>('Owner Occupier'!$H$24-'Owner Occupier'!$D$52)/('Owner Occupier'!$D$56-'Owner Occupier'!$D$52)*B6</f>
        <v>322.34837291603827</v>
      </c>
      <c r="G6" s="4">
        <f t="shared" ref="G6:G69" si="2">F6+G5</f>
        <v>963.63626936992887</v>
      </c>
    </row>
    <row r="7" spans="1:7" x14ac:dyDescent="0.25">
      <c r="A7">
        <v>4</v>
      </c>
      <c r="B7" s="4">
        <f>-PPMT('Owner Occupier'!$D$41/12,'FHA Amotization'!$A7,360,'Owner Occupier'!$D$40,0,0)</f>
        <v>679.89257239516076</v>
      </c>
      <c r="C7" s="4">
        <f>-IPMT('Owner Occupier'!$D$41/12,'FHA Amotization'!$A7,360,'Owner Occupier'!$D$40,0,0)</f>
        <v>1722.1532495573608</v>
      </c>
      <c r="D7" s="4">
        <f t="shared" si="0"/>
        <v>2402.0458219525217</v>
      </c>
      <c r="E7" s="3">
        <f t="shared" si="1"/>
        <v>485575.14259674191</v>
      </c>
      <c r="F7" s="4">
        <f>('Owner Occupier'!$H$24-'Owner Occupier'!$D$52)/('Owner Occupier'!$D$56-'Owner Occupier'!$D$52)*B7</f>
        <v>323.49002340344924</v>
      </c>
      <c r="G7" s="4">
        <f t="shared" si="2"/>
        <v>1287.1262927733781</v>
      </c>
    </row>
    <row r="8" spans="1:7" x14ac:dyDescent="0.25">
      <c r="A8">
        <v>5</v>
      </c>
      <c r="B8" s="4">
        <f>-PPMT('Owner Occupier'!$D$41/12,'FHA Amotization'!$A8,360,'Owner Occupier'!$D$40,0,0)</f>
        <v>682.30052525572705</v>
      </c>
      <c r="C8" s="4">
        <f>-IPMT('Owner Occupier'!$D$41/12,'FHA Amotization'!$A8,360,'Owner Occupier'!$D$40,0,0)</f>
        <v>1719.7452966967946</v>
      </c>
      <c r="D8" s="4">
        <f t="shared" si="0"/>
        <v>2402.0458219525217</v>
      </c>
      <c r="E8" s="3">
        <f t="shared" si="1"/>
        <v>484892.84207148617</v>
      </c>
      <c r="F8" s="4">
        <f>('Owner Occupier'!$H$24-'Owner Occupier'!$D$52)/('Owner Occupier'!$D$56-'Owner Occupier'!$D$52)*B8</f>
        <v>324.63571723633646</v>
      </c>
      <c r="G8" s="4">
        <f t="shared" si="2"/>
        <v>1611.7620100097145</v>
      </c>
    </row>
    <row r="9" spans="1:7" x14ac:dyDescent="0.25">
      <c r="A9">
        <v>6</v>
      </c>
      <c r="B9" s="4">
        <f>-PPMT('Owner Occupier'!$D$41/12,'FHA Amotization'!$A9,360,'Owner Occupier'!$D$40,0,0)</f>
        <v>684.71700628267433</v>
      </c>
      <c r="C9" s="4">
        <f>-IPMT('Owner Occupier'!$D$41/12,'FHA Amotization'!$A9,360,'Owner Occupier'!$D$40,0,0)</f>
        <v>1717.3288156698472</v>
      </c>
      <c r="D9" s="4">
        <f t="shared" si="0"/>
        <v>2402.0458219525217</v>
      </c>
      <c r="E9" s="3">
        <f t="shared" si="1"/>
        <v>484208.12506520352</v>
      </c>
      <c r="F9" s="4">
        <f>('Owner Occupier'!$H$24-'Owner Occupier'!$D$52)/('Owner Occupier'!$D$56-'Owner Occupier'!$D$52)*B9</f>
        <v>325.78546873488182</v>
      </c>
      <c r="G9" s="4">
        <f t="shared" si="2"/>
        <v>1937.5474787445962</v>
      </c>
    </row>
    <row r="10" spans="1:7" x14ac:dyDescent="0.25">
      <c r="A10">
        <v>7</v>
      </c>
      <c r="B10" s="4">
        <f>-PPMT('Owner Occupier'!$D$41/12,'FHA Amotization'!$A10,360,'Owner Occupier'!$D$40,0,0)</f>
        <v>687.14204567992556</v>
      </c>
      <c r="C10" s="4">
        <f>-IPMT('Owner Occupier'!$D$41/12,'FHA Amotization'!$A10,360,'Owner Occupier'!$D$40,0,0)</f>
        <v>1714.9037762725959</v>
      </c>
      <c r="D10" s="4">
        <f t="shared" si="0"/>
        <v>2402.0458219525217</v>
      </c>
      <c r="E10" s="3">
        <f t="shared" si="1"/>
        <v>483520.98301952361</v>
      </c>
      <c r="F10" s="4">
        <f>('Owner Occupier'!$H$24-'Owner Occupier'!$D$52)/('Owner Occupier'!$D$56-'Owner Occupier'!$D$52)*B10</f>
        <v>326.93929226998455</v>
      </c>
      <c r="G10" s="4">
        <f t="shared" si="2"/>
        <v>2264.4867710145809</v>
      </c>
    </row>
    <row r="11" spans="1:7" x14ac:dyDescent="0.25">
      <c r="A11">
        <v>8</v>
      </c>
      <c r="B11" s="4">
        <f>-PPMT('Owner Occupier'!$D$41/12,'FHA Amotization'!$A11,360,'Owner Occupier'!$D$40,0,0)</f>
        <v>689.57567375837516</v>
      </c>
      <c r="C11" s="4">
        <f>-IPMT('Owner Occupier'!$D$41/12,'FHA Amotization'!$A11,360,'Owner Occupier'!$D$40,0,0)</f>
        <v>1712.4701481941463</v>
      </c>
      <c r="D11" s="4">
        <f t="shared" si="0"/>
        <v>2402.0458219525217</v>
      </c>
      <c r="E11" s="3">
        <f t="shared" si="1"/>
        <v>482831.40734576521</v>
      </c>
      <c r="F11" s="4">
        <f>('Owner Occupier'!$H$24-'Owner Occupier'!$D$52)/('Owner Occupier'!$D$56-'Owner Occupier'!$D$52)*B11</f>
        <v>328.09720226344069</v>
      </c>
      <c r="G11" s="4">
        <f t="shared" si="2"/>
        <v>2592.5839732780214</v>
      </c>
    </row>
    <row r="12" spans="1:7" x14ac:dyDescent="0.25">
      <c r="A12">
        <v>9</v>
      </c>
      <c r="B12" s="4">
        <f>-PPMT('Owner Occupier'!$D$41/12,'FHA Amotization'!$A12,360,'Owner Occupier'!$D$40,0,0)</f>
        <v>692.01792093626943</v>
      </c>
      <c r="C12" s="4">
        <f>-IPMT('Owner Occupier'!$D$41/12,'FHA Amotization'!$A12,360,'Owner Occupier'!$D$40,0,0)</f>
        <v>1710.0279010162519</v>
      </c>
      <c r="D12" s="4">
        <f t="shared" si="0"/>
        <v>2402.0458219525212</v>
      </c>
      <c r="E12" s="3">
        <f t="shared" si="1"/>
        <v>482139.38942482893</v>
      </c>
      <c r="F12" s="4">
        <f>('Owner Occupier'!$H$24-'Owner Occupier'!$D$52)/('Owner Occupier'!$D$56-'Owner Occupier'!$D$52)*B12</f>
        <v>329.25921318812374</v>
      </c>
      <c r="G12" s="4">
        <f t="shared" si="2"/>
        <v>2921.8431864661452</v>
      </c>
    </row>
    <row r="13" spans="1:7" x14ac:dyDescent="0.25">
      <c r="A13">
        <v>10</v>
      </c>
      <c r="B13" s="4">
        <f>-PPMT('Owner Occupier'!$D$41/12,'FHA Amotization'!$A13,360,'Owner Occupier'!$D$40,0,0)</f>
        <v>694.46881773958535</v>
      </c>
      <c r="C13" s="4">
        <f>-IPMT('Owner Occupier'!$D$41/12,'FHA Amotization'!$A13,360,'Owner Occupier'!$D$40,0,0)</f>
        <v>1707.5770042129361</v>
      </c>
      <c r="D13" s="4">
        <f t="shared" si="0"/>
        <v>2402.0458219525217</v>
      </c>
      <c r="E13" s="3">
        <f t="shared" si="1"/>
        <v>481444.92060708936</v>
      </c>
      <c r="F13" s="4">
        <f>('Owner Occupier'!$H$24-'Owner Occupier'!$D$52)/('Owner Occupier'!$D$56-'Owner Occupier'!$D$52)*B13</f>
        <v>330.42533956816499</v>
      </c>
      <c r="G13" s="4">
        <f t="shared" si="2"/>
        <v>3252.2685260343101</v>
      </c>
    </row>
    <row r="14" spans="1:7" x14ac:dyDescent="0.25">
      <c r="A14">
        <v>11</v>
      </c>
      <c r="B14" s="4">
        <f>-PPMT('Owner Occupier'!$D$41/12,'FHA Amotization'!$A14,360,'Owner Occupier'!$D$40,0,0)</f>
        <v>696.92839480241321</v>
      </c>
      <c r="C14" s="4">
        <f>-IPMT('Owner Occupier'!$D$41/12,'FHA Amotization'!$A14,360,'Owner Occupier'!$D$40,0,0)</f>
        <v>1705.1174271501081</v>
      </c>
      <c r="D14" s="4">
        <f t="shared" si="0"/>
        <v>2402.0458219525212</v>
      </c>
      <c r="E14" s="3">
        <f t="shared" si="1"/>
        <v>480747.99221228692</v>
      </c>
      <c r="F14" s="4">
        <f>('Owner Occupier'!$H$24-'Owner Occupier'!$D$52)/('Owner Occupier'!$D$56-'Owner Occupier'!$D$52)*B14</f>
        <v>331.59559597913562</v>
      </c>
      <c r="G14" s="4">
        <f t="shared" si="2"/>
        <v>3583.8641220134459</v>
      </c>
    </row>
    <row r="15" spans="1:7" x14ac:dyDescent="0.25">
      <c r="A15">
        <v>12</v>
      </c>
      <c r="B15" s="4">
        <f>-PPMT('Owner Occupier'!$D$41/12,'FHA Amotization'!$A15,360,'Owner Occupier'!$D$40,0,0)</f>
        <v>699.39668286733831</v>
      </c>
      <c r="C15" s="4">
        <f>-IPMT('Owner Occupier'!$D$41/12,'FHA Amotization'!$A15,360,'Owner Occupier'!$D$40,0,0)</f>
        <v>1702.6491390851832</v>
      </c>
      <c r="D15" s="4">
        <f t="shared" si="0"/>
        <v>2402.0458219525217</v>
      </c>
      <c r="E15" s="3">
        <f t="shared" si="1"/>
        <v>480048.5955294196</v>
      </c>
      <c r="F15" s="4">
        <f>('Owner Occupier'!$H$24-'Owner Occupier'!$D$52)/('Owner Occupier'!$D$56-'Owner Occupier'!$D$52)*B15</f>
        <v>332.76999704822833</v>
      </c>
      <c r="G15" s="4">
        <f t="shared" si="2"/>
        <v>3916.634119061674</v>
      </c>
    </row>
    <row r="16" spans="1:7" x14ac:dyDescent="0.25">
      <c r="A16">
        <v>13</v>
      </c>
      <c r="B16" s="4">
        <f>-PPMT('Owner Occupier'!$D$41/12,'FHA Amotization'!$A16,360,'Owner Occupier'!$D$40,0,0)</f>
        <v>701.8737127858268</v>
      </c>
      <c r="C16" s="4">
        <f>-IPMT('Owner Occupier'!$D$41/12,'FHA Amotization'!$A16,360,'Owner Occupier'!$D$40,0,0)</f>
        <v>1700.1721091666946</v>
      </c>
      <c r="D16" s="4">
        <f t="shared" si="0"/>
        <v>2402.0458219525212</v>
      </c>
      <c r="E16" s="3">
        <f t="shared" si="1"/>
        <v>479346.72181663377</v>
      </c>
      <c r="F16" s="4">
        <f>('Owner Occupier'!$H$24-'Owner Occupier'!$D$52)/('Owner Occupier'!$D$56-'Owner Occupier'!$D$52)*B16</f>
        <v>333.94855745444085</v>
      </c>
      <c r="G16" s="4">
        <f t="shared" si="2"/>
        <v>4250.5826765161146</v>
      </c>
    </row>
    <row r="17" spans="1:7" x14ac:dyDescent="0.25">
      <c r="A17">
        <v>14</v>
      </c>
      <c r="B17" s="4">
        <f>-PPMT('Owner Occupier'!$D$41/12,'FHA Amotization'!$A17,360,'Owner Occupier'!$D$40,0,0)</f>
        <v>704.3595155186099</v>
      </c>
      <c r="C17" s="4">
        <f>-IPMT('Owner Occupier'!$D$41/12,'FHA Amotization'!$A17,360,'Owner Occupier'!$D$40,0,0)</f>
        <v>1697.6863064339116</v>
      </c>
      <c r="D17" s="4">
        <f t="shared" si="0"/>
        <v>2402.0458219525217</v>
      </c>
      <c r="E17" s="3">
        <f t="shared" si="1"/>
        <v>478642.36230111518</v>
      </c>
      <c r="F17" s="4">
        <f>('Owner Occupier'!$H$24-'Owner Occupier'!$D$52)/('Owner Occupier'!$D$56-'Owner Occupier'!$D$52)*B17</f>
        <v>335.13129192875863</v>
      </c>
      <c r="G17" s="4">
        <f t="shared" si="2"/>
        <v>4585.713968444873</v>
      </c>
    </row>
    <row r="18" spans="1:7" x14ac:dyDescent="0.25">
      <c r="A18">
        <v>15</v>
      </c>
      <c r="B18" s="4">
        <f>-PPMT('Owner Occupier'!$D$41/12,'FHA Amotization'!$A18,360,'Owner Occupier'!$D$40,0,0)</f>
        <v>706.85412213607174</v>
      </c>
      <c r="C18" s="4">
        <f>-IPMT('Owner Occupier'!$D$41/12,'FHA Amotization'!$A18,360,'Owner Occupier'!$D$40,0,0)</f>
        <v>1695.1916998164497</v>
      </c>
      <c r="D18" s="4">
        <f t="shared" si="0"/>
        <v>2402.0458219525217</v>
      </c>
      <c r="E18" s="3">
        <f t="shared" si="1"/>
        <v>477935.5081789791</v>
      </c>
      <c r="F18" s="4">
        <f>('Owner Occupier'!$H$24-'Owner Occupier'!$D$52)/('Owner Occupier'!$D$56-'Owner Occupier'!$D$52)*B18</f>
        <v>336.31821525433969</v>
      </c>
      <c r="G18" s="4">
        <f t="shared" si="2"/>
        <v>4922.0321836992125</v>
      </c>
    </row>
    <row r="19" spans="1:7" x14ac:dyDescent="0.25">
      <c r="A19">
        <v>16</v>
      </c>
      <c r="B19" s="4">
        <f>-PPMT('Owner Occupier'!$D$41/12,'FHA Amotization'!$A19,360,'Owner Occupier'!$D$40,0,0)</f>
        <v>709.357563818637</v>
      </c>
      <c r="C19" s="4">
        <f>-IPMT('Owner Occupier'!$D$41/12,'FHA Amotization'!$A19,360,'Owner Occupier'!$D$40,0,0)</f>
        <v>1692.6882581338843</v>
      </c>
      <c r="D19" s="4">
        <f t="shared" si="0"/>
        <v>2402.0458219525212</v>
      </c>
      <c r="E19" s="3">
        <f t="shared" si="1"/>
        <v>477226.15061516047</v>
      </c>
      <c r="F19" s="4">
        <f>('Owner Occupier'!$H$24-'Owner Occupier'!$D$52)/('Owner Occupier'!$D$56-'Owner Occupier'!$D$52)*B19</f>
        <v>337.50934226669881</v>
      </c>
      <c r="G19" s="4">
        <f t="shared" si="2"/>
        <v>5259.5415259659112</v>
      </c>
    </row>
    <row r="20" spans="1:7" x14ac:dyDescent="0.25">
      <c r="A20">
        <v>17</v>
      </c>
      <c r="B20" s="4">
        <f>-PPMT('Owner Occupier'!$D$41/12,'FHA Amotization'!$A20,360,'Owner Occupier'!$D$40,0,0)</f>
        <v>711.86987185716134</v>
      </c>
      <c r="C20" s="4">
        <f>-IPMT('Owner Occupier'!$D$41/12,'FHA Amotization'!$A20,360,'Owner Occupier'!$D$40,0,0)</f>
        <v>1690.1759500953601</v>
      </c>
      <c r="D20" s="4">
        <f t="shared" si="0"/>
        <v>2402.0458219525217</v>
      </c>
      <c r="E20" s="3">
        <f t="shared" si="1"/>
        <v>476514.2807433033</v>
      </c>
      <c r="F20" s="4">
        <f>('Owner Occupier'!$H$24-'Owner Occupier'!$D$52)/('Owner Occupier'!$D$56-'Owner Occupier'!$D$52)*B20</f>
        <v>338.70468785389335</v>
      </c>
      <c r="G20" s="4">
        <f t="shared" si="2"/>
        <v>5598.2462138198043</v>
      </c>
    </row>
    <row r="21" spans="1:7" x14ac:dyDescent="0.25">
      <c r="A21">
        <v>18</v>
      </c>
      <c r="B21" s="4">
        <f>-PPMT('Owner Occupier'!$D$41/12,'FHA Amotization'!$A21,360,'Owner Occupier'!$D$40,0,0)</f>
        <v>714.3910776533221</v>
      </c>
      <c r="C21" s="4">
        <f>-IPMT('Owner Occupier'!$D$41/12,'FHA Amotization'!$A21,360,'Owner Occupier'!$D$40,0,0)</f>
        <v>1687.6547442991996</v>
      </c>
      <c r="D21" s="4">
        <f t="shared" si="0"/>
        <v>2402.0458219525217</v>
      </c>
      <c r="E21" s="3">
        <f t="shared" si="1"/>
        <v>475799.88966564997</v>
      </c>
      <c r="F21" s="4">
        <f>('Owner Occupier'!$H$24-'Owner Occupier'!$D$52)/('Owner Occupier'!$D$56-'Owner Occupier'!$D$52)*B21</f>
        <v>339.90426695670925</v>
      </c>
      <c r="G21" s="4">
        <f t="shared" si="2"/>
        <v>5938.1504807765132</v>
      </c>
    </row>
    <row r="22" spans="1:7" x14ac:dyDescent="0.25">
      <c r="A22">
        <v>19</v>
      </c>
      <c r="B22" s="4">
        <f>-PPMT('Owner Occupier'!$D$41/12,'FHA Amotization'!$A22,360,'Owner Occupier'!$D$40,0,0)</f>
        <v>716.92121272001111</v>
      </c>
      <c r="C22" s="4">
        <f>-IPMT('Owner Occupier'!$D$41/12,'FHA Amotization'!$A22,360,'Owner Occupier'!$D$40,0,0)</f>
        <v>1685.1246092325105</v>
      </c>
      <c r="D22" s="4">
        <f t="shared" si="0"/>
        <v>2402.0458219525217</v>
      </c>
      <c r="E22" s="3">
        <f t="shared" si="1"/>
        <v>475082.96845292998</v>
      </c>
      <c r="F22" s="4">
        <f>('Owner Occupier'!$H$24-'Owner Occupier'!$D$52)/('Owner Occupier'!$D$56-'Owner Occupier'!$D$52)*B22</f>
        <v>341.10809456884766</v>
      </c>
      <c r="G22" s="4">
        <f t="shared" si="2"/>
        <v>6279.2585753453604</v>
      </c>
    </row>
    <row r="23" spans="1:7" x14ac:dyDescent="0.25">
      <c r="A23">
        <v>20</v>
      </c>
      <c r="B23" s="4">
        <f>-PPMT('Owner Occupier'!$D$41/12,'FHA Amotization'!$A23,360,'Owner Occupier'!$D$40,0,0)</f>
        <v>719.46030868172772</v>
      </c>
      <c r="C23" s="4">
        <f>-IPMT('Owner Occupier'!$D$41/12,'FHA Amotization'!$A23,360,'Owner Occupier'!$D$40,0,0)</f>
        <v>1682.5855132707939</v>
      </c>
      <c r="D23" s="4">
        <f t="shared" si="0"/>
        <v>2402.0458219525217</v>
      </c>
      <c r="E23" s="3">
        <f t="shared" si="1"/>
        <v>474363.50814424828</v>
      </c>
      <c r="F23" s="4">
        <f>('Owner Occupier'!$H$24-'Owner Occupier'!$D$52)/('Owner Occupier'!$D$56-'Owner Occupier'!$D$52)*B23</f>
        <v>342.31618573711228</v>
      </c>
      <c r="G23" s="4">
        <f t="shared" si="2"/>
        <v>6621.5747610824728</v>
      </c>
    </row>
    <row r="24" spans="1:7" x14ac:dyDescent="0.25">
      <c r="A24">
        <v>21</v>
      </c>
      <c r="B24" s="4">
        <f>-PPMT('Owner Occupier'!$D$41/12,'FHA Amotization'!$A24,360,'Owner Occupier'!$D$40,0,0)</f>
        <v>722.00839727497544</v>
      </c>
      <c r="C24" s="4">
        <f>-IPMT('Owner Occupier'!$D$41/12,'FHA Amotization'!$A24,360,'Owner Occupier'!$D$40,0,0)</f>
        <v>1680.0374246775459</v>
      </c>
      <c r="D24" s="4">
        <f t="shared" si="0"/>
        <v>2402.0458219525212</v>
      </c>
      <c r="E24" s="3">
        <f t="shared" si="1"/>
        <v>473641.49974697328</v>
      </c>
      <c r="F24" s="4">
        <f>('Owner Occupier'!$H$24-'Owner Occupier'!$D$52)/('Owner Occupier'!$D$56-'Owner Occupier'!$D$52)*B24</f>
        <v>343.52855556159784</v>
      </c>
      <c r="G24" s="4">
        <f t="shared" si="2"/>
        <v>6965.1033166440702</v>
      </c>
    </row>
    <row r="25" spans="1:7" x14ac:dyDescent="0.25">
      <c r="A25">
        <v>22</v>
      </c>
      <c r="B25" s="4">
        <f>-PPMT('Owner Occupier'!$D$41/12,'FHA Amotization'!$A25,360,'Owner Occupier'!$D$40,0,0)</f>
        <v>724.56551034865765</v>
      </c>
      <c r="C25" s="4">
        <f>-IPMT('Owner Occupier'!$D$41/12,'FHA Amotization'!$A25,360,'Owner Occupier'!$D$40,0,0)</f>
        <v>1677.4803116038638</v>
      </c>
      <c r="D25" s="4">
        <f t="shared" si="0"/>
        <v>2402.0458219525217</v>
      </c>
      <c r="E25" s="3">
        <f t="shared" si="1"/>
        <v>472916.93423662463</v>
      </c>
      <c r="F25" s="4">
        <f>('Owner Occupier'!$H$24-'Owner Occupier'!$D$52)/('Owner Occupier'!$D$56-'Owner Occupier'!$D$52)*B25</f>
        <v>344.74521919587852</v>
      </c>
      <c r="G25" s="4">
        <f t="shared" si="2"/>
        <v>7309.8485358399485</v>
      </c>
    </row>
    <row r="26" spans="1:7" x14ac:dyDescent="0.25">
      <c r="A26">
        <v>23</v>
      </c>
      <c r="B26" s="4">
        <f>-PPMT('Owner Occupier'!$D$41/12,'FHA Amotization'!$A26,360,'Owner Occupier'!$D$40,0,0)</f>
        <v>727.13167986447581</v>
      </c>
      <c r="C26" s="4">
        <f>-IPMT('Owner Occupier'!$D$41/12,'FHA Amotization'!$A26,360,'Owner Occupier'!$D$40,0,0)</f>
        <v>1674.9141420880458</v>
      </c>
      <c r="D26" s="4">
        <f t="shared" si="0"/>
        <v>2402.0458219525217</v>
      </c>
      <c r="E26" s="3">
        <f t="shared" si="1"/>
        <v>472189.80255676014</v>
      </c>
      <c r="F26" s="4">
        <f>('Owner Occupier'!$H$24-'Owner Occupier'!$D$52)/('Owner Occupier'!$D$56-'Owner Occupier'!$D$52)*B26</f>
        <v>345.96619184719725</v>
      </c>
      <c r="G26" s="4">
        <f t="shared" si="2"/>
        <v>7655.8147276871459</v>
      </c>
    </row>
    <row r="27" spans="1:7" x14ac:dyDescent="0.25">
      <c r="A27">
        <v>24</v>
      </c>
      <c r="B27" s="4">
        <f>-PPMT('Owner Occupier'!$D$41/12,'FHA Amotization'!$A27,360,'Owner Occupier'!$D$40,0,0)</f>
        <v>729.70693789732934</v>
      </c>
      <c r="C27" s="4">
        <f>-IPMT('Owner Occupier'!$D$41/12,'FHA Amotization'!$A27,360,'Owner Occupier'!$D$40,0,0)</f>
        <v>1672.3388840551918</v>
      </c>
      <c r="D27" s="4">
        <f t="shared" si="0"/>
        <v>2402.0458219525212</v>
      </c>
      <c r="E27" s="3">
        <f t="shared" si="1"/>
        <v>471460.09561886283</v>
      </c>
      <c r="F27" s="4">
        <f>('Owner Occupier'!$H$24-'Owner Occupier'!$D$52)/('Owner Occupier'!$D$56-'Owner Occupier'!$D$52)*B27</f>
        <v>347.19148877665617</v>
      </c>
      <c r="G27" s="4">
        <f t="shared" si="2"/>
        <v>8003.006216463802</v>
      </c>
    </row>
    <row r="28" spans="1:7" x14ac:dyDescent="0.25">
      <c r="A28">
        <v>25</v>
      </c>
      <c r="B28" s="4">
        <f>-PPMT('Owner Occupier'!$D$41/12,'FHA Amotization'!$A28,360,'Owner Occupier'!$D$40,0,0)</f>
        <v>732.29131663571559</v>
      </c>
      <c r="C28" s="4">
        <f>-IPMT('Owner Occupier'!$D$41/12,'FHA Amotization'!$A28,360,'Owner Occupier'!$D$40,0,0)</f>
        <v>1669.754505316806</v>
      </c>
      <c r="D28" s="4">
        <f t="shared" si="0"/>
        <v>2402.0458219525217</v>
      </c>
      <c r="E28" s="3">
        <f t="shared" si="1"/>
        <v>470727.8043022271</v>
      </c>
      <c r="F28" s="4">
        <f>('Owner Occupier'!$H$24-'Owner Occupier'!$D$52)/('Owner Occupier'!$D$56-'Owner Occupier'!$D$52)*B28</f>
        <v>348.42112529940675</v>
      </c>
      <c r="G28" s="4">
        <f t="shared" si="2"/>
        <v>8351.4273417632085</v>
      </c>
    </row>
    <row r="29" spans="1:7" x14ac:dyDescent="0.25">
      <c r="A29">
        <v>26</v>
      </c>
      <c r="B29" s="4">
        <f>-PPMT('Owner Occupier'!$D$41/12,'FHA Amotization'!$A29,360,'Owner Occupier'!$D$40,0,0)</f>
        <v>734.88484838213378</v>
      </c>
      <c r="C29" s="4">
        <f>-IPMT('Owner Occupier'!$D$41/12,'FHA Amotization'!$A29,360,'Owner Occupier'!$D$40,0,0)</f>
        <v>1667.1609735703876</v>
      </c>
      <c r="D29" s="4">
        <f t="shared" si="0"/>
        <v>2402.0458219525212</v>
      </c>
      <c r="E29" s="3">
        <f t="shared" si="1"/>
        <v>469992.91945384495</v>
      </c>
      <c r="F29" s="4">
        <f>('Owner Occupier'!$H$24-'Owner Occupier'!$D$52)/('Owner Occupier'!$D$56-'Owner Occupier'!$D$52)*B29</f>
        <v>349.65511678484216</v>
      </c>
      <c r="G29" s="4">
        <f t="shared" si="2"/>
        <v>8701.0824585480514</v>
      </c>
    </row>
    <row r="30" spans="1:7" x14ac:dyDescent="0.25">
      <c r="A30">
        <v>27</v>
      </c>
      <c r="B30" s="4">
        <f>-PPMT('Owner Occupier'!$D$41/12,'FHA Amotization'!$A30,360,'Owner Occupier'!$D$40,0,0)</f>
        <v>737.48756555348712</v>
      </c>
      <c r="C30" s="4">
        <f>-IPMT('Owner Occupier'!$D$41/12,'FHA Amotization'!$A30,360,'Owner Occupier'!$D$40,0,0)</f>
        <v>1664.5582563990342</v>
      </c>
      <c r="D30" s="4">
        <f t="shared" si="0"/>
        <v>2402.0458219525212</v>
      </c>
      <c r="E30" s="3">
        <f t="shared" si="1"/>
        <v>469255.43188829144</v>
      </c>
      <c r="F30" s="4">
        <f>('Owner Occupier'!$H$24-'Owner Occupier'!$D$52)/('Owner Occupier'!$D$56-'Owner Occupier'!$D$52)*B30</f>
        <v>350.89347865678843</v>
      </c>
      <c r="G30" s="4">
        <f t="shared" si="2"/>
        <v>9051.9759372048393</v>
      </c>
    </row>
    <row r="31" spans="1:7" x14ac:dyDescent="0.25">
      <c r="A31">
        <v>28</v>
      </c>
      <c r="B31" s="4">
        <f>-PPMT('Owner Occupier'!$D$41/12,'FHA Amotization'!$A31,360,'Owner Occupier'!$D$40,0,0)</f>
        <v>740.09950068148919</v>
      </c>
      <c r="C31" s="4">
        <f>-IPMT('Owner Occupier'!$D$41/12,'FHA Amotization'!$A31,360,'Owner Occupier'!$D$40,0,0)</f>
        <v>1661.946321271032</v>
      </c>
      <c r="D31" s="4">
        <f t="shared" si="0"/>
        <v>2402.0458219525212</v>
      </c>
      <c r="E31" s="3">
        <f t="shared" si="1"/>
        <v>468515.33238760993</v>
      </c>
      <c r="F31" s="4">
        <f>('Owner Occupier'!$H$24-'Owner Occupier'!$D$52)/('Owner Occupier'!$D$56-'Owner Occupier'!$D$52)*B31</f>
        <v>352.136226393698</v>
      </c>
      <c r="G31" s="4">
        <f t="shared" si="2"/>
        <v>9404.1121635985364</v>
      </c>
    </row>
    <row r="32" spans="1:7" x14ac:dyDescent="0.25">
      <c r="A32">
        <v>29</v>
      </c>
      <c r="B32" s="4">
        <f>-PPMT('Owner Occupier'!$D$41/12,'FHA Amotization'!$A32,360,'Owner Occupier'!$D$40,0,0)</f>
        <v>742.72068641306919</v>
      </c>
      <c r="C32" s="4">
        <f>-IPMT('Owner Occupier'!$D$41/12,'FHA Amotization'!$A32,360,'Owner Occupier'!$D$40,0,0)</f>
        <v>1659.325135539452</v>
      </c>
      <c r="D32" s="4">
        <f t="shared" si="0"/>
        <v>2402.0458219525212</v>
      </c>
      <c r="E32" s="3">
        <f t="shared" si="1"/>
        <v>467772.61170119687</v>
      </c>
      <c r="F32" s="4">
        <f>('Owner Occupier'!$H$24-'Owner Occupier'!$D$52)/('Owner Occupier'!$D$56-'Owner Occupier'!$D$52)*B32</f>
        <v>353.38337552884218</v>
      </c>
      <c r="G32" s="4">
        <f t="shared" si="2"/>
        <v>9757.4955391273779</v>
      </c>
    </row>
    <row r="33" spans="1:7" x14ac:dyDescent="0.25">
      <c r="A33">
        <v>30</v>
      </c>
      <c r="B33" s="4">
        <f>-PPMT('Owner Occupier'!$D$41/12,'FHA Amotization'!$A33,360,'Owner Occupier'!$D$40,0,0)</f>
        <v>745.35115551078229</v>
      </c>
      <c r="C33" s="4">
        <f>-IPMT('Owner Occupier'!$D$41/12,'FHA Amotization'!$A33,360,'Owner Occupier'!$D$40,0,0)</f>
        <v>1656.6946664417389</v>
      </c>
      <c r="D33" s="4">
        <f t="shared" si="0"/>
        <v>2402.0458219525212</v>
      </c>
      <c r="E33" s="3">
        <f t="shared" si="1"/>
        <v>467027.26054568612</v>
      </c>
      <c r="F33" s="4">
        <f>('Owner Occupier'!$H$24-'Owner Occupier'!$D$52)/('Owner Occupier'!$D$56-'Owner Occupier'!$D$52)*B33</f>
        <v>354.6349416505069</v>
      </c>
      <c r="G33" s="4">
        <f t="shared" si="2"/>
        <v>10112.130480777885</v>
      </c>
    </row>
    <row r="34" spans="1:7" x14ac:dyDescent="0.25">
      <c r="A34">
        <v>31</v>
      </c>
      <c r="B34" s="4">
        <f>-PPMT('Owner Occupier'!$D$41/12,'FHA Amotization'!$A34,360,'Owner Occupier'!$D$40,0,0)</f>
        <v>747.99094085321622</v>
      </c>
      <c r="C34" s="4">
        <f>-IPMT('Owner Occupier'!$D$41/12,'FHA Amotization'!$A34,360,'Owner Occupier'!$D$40,0,0)</f>
        <v>1654.054881099305</v>
      </c>
      <c r="D34" s="4">
        <f t="shared" si="0"/>
        <v>2402.0458219525212</v>
      </c>
      <c r="E34" s="3">
        <f t="shared" si="1"/>
        <v>466279.26960483292</v>
      </c>
      <c r="F34" s="4">
        <f>('Owner Occupier'!$H$24-'Owner Occupier'!$D$52)/('Owner Occupier'!$D$56-'Owner Occupier'!$D$52)*B34</f>
        <v>355.89094040218572</v>
      </c>
      <c r="G34" s="4">
        <f t="shared" si="2"/>
        <v>10468.02142118007</v>
      </c>
    </row>
    <row r="35" spans="1:7" x14ac:dyDescent="0.25">
      <c r="A35">
        <v>32</v>
      </c>
      <c r="B35" s="4">
        <f>-PPMT('Owner Occupier'!$D$41/12,'FHA Amotization'!$A35,360,'Owner Occupier'!$D$40,0,0)</f>
        <v>750.64007543540481</v>
      </c>
      <c r="C35" s="4">
        <f>-IPMT('Owner Occupier'!$D$41/12,'FHA Amotization'!$A35,360,'Owner Occupier'!$D$40,0,0)</f>
        <v>1651.4057465171165</v>
      </c>
      <c r="D35" s="4">
        <f t="shared" si="0"/>
        <v>2402.0458219525212</v>
      </c>
      <c r="E35" s="3">
        <f t="shared" si="1"/>
        <v>465528.62952939753</v>
      </c>
      <c r="F35" s="4">
        <f>('Owner Occupier'!$H$24-'Owner Occupier'!$D$52)/('Owner Occupier'!$D$56-'Owner Occupier'!$D$52)*B35</f>
        <v>357.1513874827769</v>
      </c>
      <c r="G35" s="4">
        <f t="shared" si="2"/>
        <v>10825.172808662846</v>
      </c>
    </row>
    <row r="36" spans="1:7" x14ac:dyDescent="0.25">
      <c r="A36">
        <v>33</v>
      </c>
      <c r="B36" s="4">
        <f>-PPMT('Owner Occupier'!$D$41/12,'FHA Amotization'!$A36,360,'Owner Occupier'!$D$40,0,0)</f>
        <v>753.29859236923846</v>
      </c>
      <c r="C36" s="4">
        <f>-IPMT('Owner Occupier'!$D$41/12,'FHA Amotization'!$A36,360,'Owner Occupier'!$D$40,0,0)</f>
        <v>1648.7472295832829</v>
      </c>
      <c r="D36" s="4">
        <f t="shared" si="0"/>
        <v>2402.0458219525212</v>
      </c>
      <c r="E36" s="3">
        <f t="shared" si="1"/>
        <v>464775.33093702828</v>
      </c>
      <c r="F36" s="4">
        <f>('Owner Occupier'!$H$24-'Owner Occupier'!$D$52)/('Owner Occupier'!$D$56-'Owner Occupier'!$D$52)*B36</f>
        <v>358.41629864677833</v>
      </c>
      <c r="G36" s="4">
        <f t="shared" si="2"/>
        <v>11183.589107309625</v>
      </c>
    </row>
    <row r="37" spans="1:7" x14ac:dyDescent="0.25">
      <c r="A37">
        <v>34</v>
      </c>
      <c r="B37" s="4">
        <f>-PPMT('Owner Occupier'!$D$41/12,'FHA Amotization'!$A37,360,'Owner Occupier'!$D$40,0,0)</f>
        <v>755.96652488387963</v>
      </c>
      <c r="C37" s="4">
        <f>-IPMT('Owner Occupier'!$D$41/12,'FHA Amotization'!$A37,360,'Owner Occupier'!$D$40,0,0)</f>
        <v>1646.0792970686418</v>
      </c>
      <c r="D37" s="4">
        <f t="shared" si="0"/>
        <v>2402.0458219525217</v>
      </c>
      <c r="E37" s="3">
        <f t="shared" si="1"/>
        <v>464019.36441214441</v>
      </c>
      <c r="F37" s="4">
        <f>('Owner Occupier'!$H$24-'Owner Occupier'!$D$52)/('Owner Occupier'!$D$56-'Owner Occupier'!$D$52)*B37</f>
        <v>359.68568970448575</v>
      </c>
      <c r="G37" s="4">
        <f t="shared" si="2"/>
        <v>11543.27479701411</v>
      </c>
    </row>
    <row r="38" spans="1:7" x14ac:dyDescent="0.25">
      <c r="A38">
        <v>35</v>
      </c>
      <c r="B38" s="4">
        <f>-PPMT('Owner Occupier'!$D$41/12,'FHA Amotization'!$A38,360,'Owner Occupier'!$D$40,0,0)</f>
        <v>758.64390632617665</v>
      </c>
      <c r="C38" s="4">
        <f>-IPMT('Owner Occupier'!$D$41/12,'FHA Amotization'!$A38,360,'Owner Occupier'!$D$40,0,0)</f>
        <v>1643.4019156263446</v>
      </c>
      <c r="D38" s="4">
        <f t="shared" si="0"/>
        <v>2402.0458219525212</v>
      </c>
      <c r="E38" s="3">
        <f t="shared" si="1"/>
        <v>463260.72050581826</v>
      </c>
      <c r="F38" s="4">
        <f>('Owner Occupier'!$H$24-'Owner Occupier'!$D$52)/('Owner Occupier'!$D$56-'Owner Occupier'!$D$52)*B38</f>
        <v>360.95957652218908</v>
      </c>
      <c r="G38" s="4">
        <f t="shared" si="2"/>
        <v>11904.234373536299</v>
      </c>
    </row>
    <row r="39" spans="1:7" x14ac:dyDescent="0.25">
      <c r="A39">
        <v>36</v>
      </c>
      <c r="B39" s="4">
        <f>-PPMT('Owner Occupier'!$D$41/12,'FHA Amotization'!$A39,360,'Owner Occupier'!$D$40,0,0)</f>
        <v>761.33077016108189</v>
      </c>
      <c r="C39" s="4">
        <f>-IPMT('Owner Occupier'!$D$41/12,'FHA Amotization'!$A39,360,'Owner Occupier'!$D$40,0,0)</f>
        <v>1640.7150517914397</v>
      </c>
      <c r="D39" s="4">
        <f t="shared" si="0"/>
        <v>2402.0458219525217</v>
      </c>
      <c r="E39" s="3">
        <f t="shared" si="1"/>
        <v>462499.3897356572</v>
      </c>
      <c r="F39" s="4">
        <f>('Owner Occupier'!$H$24-'Owner Occupier'!$D$52)/('Owner Occupier'!$D$56-'Owner Occupier'!$D$52)*B39</f>
        <v>362.23797502237187</v>
      </c>
      <c r="G39" s="4">
        <f t="shared" si="2"/>
        <v>12266.472348558671</v>
      </c>
    </row>
    <row r="40" spans="1:7" x14ac:dyDescent="0.25">
      <c r="A40">
        <v>37</v>
      </c>
      <c r="B40" s="4">
        <f>-PPMT('Owner Occupier'!$D$41/12,'FHA Amotization'!$A40,360,'Owner Occupier'!$D$40,0,0)</f>
        <v>764.02714997206897</v>
      </c>
      <c r="C40" s="4">
        <f>-IPMT('Owner Occupier'!$D$41/12,'FHA Amotization'!$A40,360,'Owner Occupier'!$D$40,0,0)</f>
        <v>1638.0186719804524</v>
      </c>
      <c r="D40" s="4">
        <f t="shared" si="0"/>
        <v>2402.0458219525212</v>
      </c>
      <c r="E40" s="3">
        <f t="shared" si="1"/>
        <v>461735.36258568516</v>
      </c>
      <c r="F40" s="4">
        <f>('Owner Occupier'!$H$24-'Owner Occupier'!$D$52)/('Owner Occupier'!$D$56-'Owner Occupier'!$D$52)*B40</f>
        <v>363.52090118390942</v>
      </c>
      <c r="G40" s="4">
        <f t="shared" si="2"/>
        <v>12629.99324974258</v>
      </c>
    </row>
    <row r="41" spans="1:7" x14ac:dyDescent="0.25">
      <c r="A41">
        <v>38</v>
      </c>
      <c r="B41" s="4">
        <f>-PPMT('Owner Occupier'!$D$41/12,'FHA Amotization'!$A41,360,'Owner Occupier'!$D$40,0,0)</f>
        <v>766.73307946155353</v>
      </c>
      <c r="C41" s="4">
        <f>-IPMT('Owner Occupier'!$D$41/12,'FHA Amotization'!$A41,360,'Owner Occupier'!$D$40,0,0)</f>
        <v>1635.312742490968</v>
      </c>
      <c r="D41" s="4">
        <f t="shared" si="0"/>
        <v>2402.0458219525217</v>
      </c>
      <c r="E41" s="3">
        <f t="shared" si="1"/>
        <v>460968.6295062236</v>
      </c>
      <c r="F41" s="4">
        <f>('Owner Occupier'!$H$24-'Owner Occupier'!$D$52)/('Owner Occupier'!$D$56-'Owner Occupier'!$D$52)*B41</f>
        <v>364.80837104226913</v>
      </c>
      <c r="G41" s="4">
        <f t="shared" si="2"/>
        <v>12994.801620784849</v>
      </c>
    </row>
    <row r="42" spans="1:7" x14ac:dyDescent="0.25">
      <c r="A42">
        <v>39</v>
      </c>
      <c r="B42" s="4">
        <f>-PPMT('Owner Occupier'!$D$41/12,'FHA Amotization'!$A42,360,'Owner Occupier'!$D$40,0,0)</f>
        <v>769.44859245131306</v>
      </c>
      <c r="C42" s="4">
        <f>-IPMT('Owner Occupier'!$D$41/12,'FHA Amotization'!$A42,360,'Owner Occupier'!$D$40,0,0)</f>
        <v>1632.5972295012084</v>
      </c>
      <c r="D42" s="4">
        <f t="shared" si="0"/>
        <v>2402.0458219525217</v>
      </c>
      <c r="E42" s="3">
        <f t="shared" si="1"/>
        <v>460199.18091377232</v>
      </c>
      <c r="F42" s="4">
        <f>('Owner Occupier'!$H$24-'Owner Occupier'!$D$52)/('Owner Occupier'!$D$56-'Owner Occupier'!$D$52)*B42</f>
        <v>366.10040068971045</v>
      </c>
      <c r="G42" s="4">
        <f t="shared" si="2"/>
        <v>13360.90202147456</v>
      </c>
    </row>
    <row r="43" spans="1:7" x14ac:dyDescent="0.25">
      <c r="A43">
        <v>40</v>
      </c>
      <c r="B43" s="4">
        <f>-PPMT('Owner Occupier'!$D$41/12,'FHA Amotization'!$A43,360,'Owner Occupier'!$D$40,0,0)</f>
        <v>772.17372288291153</v>
      </c>
      <c r="C43" s="4">
        <f>-IPMT('Owner Occupier'!$D$41/12,'FHA Amotization'!$A43,360,'Owner Occupier'!$D$40,0,0)</f>
        <v>1629.8720990696099</v>
      </c>
      <c r="D43" s="4">
        <f t="shared" si="0"/>
        <v>2402.0458219525217</v>
      </c>
      <c r="E43" s="3">
        <f t="shared" si="1"/>
        <v>459427.00719088939</v>
      </c>
      <c r="F43" s="4">
        <f>('Owner Occupier'!$H$24-'Owner Occupier'!$D$52)/('Owner Occupier'!$D$56-'Owner Occupier'!$D$52)*B43</f>
        <v>367.39700627548655</v>
      </c>
      <c r="G43" s="4">
        <f t="shared" si="2"/>
        <v>13728.299027750047</v>
      </c>
    </row>
    <row r="44" spans="1:7" x14ac:dyDescent="0.25">
      <c r="A44">
        <v>41</v>
      </c>
      <c r="B44" s="4">
        <f>-PPMT('Owner Occupier'!$D$41/12,'FHA Amotization'!$A44,360,'Owner Occupier'!$D$40,0,0)</f>
        <v>774.90850481812186</v>
      </c>
      <c r="C44" s="4">
        <f>-IPMT('Owner Occupier'!$D$41/12,'FHA Amotization'!$A44,360,'Owner Occupier'!$D$40,0,0)</f>
        <v>1627.1373171343996</v>
      </c>
      <c r="D44" s="4">
        <f t="shared" si="0"/>
        <v>2402.0458219525217</v>
      </c>
      <c r="E44" s="3">
        <f t="shared" si="1"/>
        <v>458652.09868607129</v>
      </c>
      <c r="F44" s="4">
        <f>('Owner Occupier'!$H$24-'Owner Occupier'!$D$52)/('Owner Occupier'!$D$56-'Owner Occupier'!$D$52)*B44</f>
        <v>368.69820400604556</v>
      </c>
      <c r="G44" s="4">
        <f t="shared" si="2"/>
        <v>14096.997231756091</v>
      </c>
    </row>
    <row r="45" spans="1:7" x14ac:dyDescent="0.25">
      <c r="A45">
        <v>42</v>
      </c>
      <c r="B45" s="4">
        <f>-PPMT('Owner Occupier'!$D$41/12,'FHA Amotization'!$A45,360,'Owner Occupier'!$D$40,0,0)</f>
        <v>777.65297243935277</v>
      </c>
      <c r="C45" s="4">
        <f>-IPMT('Owner Occupier'!$D$41/12,'FHA Amotization'!$A45,360,'Owner Occupier'!$D$40,0,0)</f>
        <v>1624.3928495131688</v>
      </c>
      <c r="D45" s="4">
        <f t="shared" si="0"/>
        <v>2402.0458219525217</v>
      </c>
      <c r="E45" s="3">
        <f t="shared" si="1"/>
        <v>457874.44571363193</v>
      </c>
      <c r="F45" s="4">
        <f>('Owner Occupier'!$H$24-'Owner Occupier'!$D$52)/('Owner Occupier'!$D$56-'Owner Occupier'!$D$52)*B45</f>
        <v>370.00401014523368</v>
      </c>
      <c r="G45" s="4">
        <f t="shared" si="2"/>
        <v>14467.001241901326</v>
      </c>
    </row>
    <row r="46" spans="1:7" x14ac:dyDescent="0.25">
      <c r="A46">
        <v>43</v>
      </c>
      <c r="B46" s="4">
        <f>-PPMT('Owner Occupier'!$D$41/12,'FHA Amotization'!$A46,360,'Owner Occupier'!$D$40,0,0)</f>
        <v>780.40716005007528</v>
      </c>
      <c r="C46" s="4">
        <f>-IPMT('Owner Occupier'!$D$41/12,'FHA Amotization'!$A46,360,'Owner Occupier'!$D$40,0,0)</f>
        <v>1621.6386619024458</v>
      </c>
      <c r="D46" s="4">
        <f t="shared" si="0"/>
        <v>2402.0458219525212</v>
      </c>
      <c r="E46" s="3">
        <f t="shared" si="1"/>
        <v>457094.03855358186</v>
      </c>
      <c r="F46" s="4">
        <f>('Owner Occupier'!$H$24-'Owner Occupier'!$D$52)/('Owner Occupier'!$D$56-'Owner Occupier'!$D$52)*B46</f>
        <v>371.31444101449796</v>
      </c>
      <c r="G46" s="4">
        <f t="shared" si="2"/>
        <v>14838.315682915823</v>
      </c>
    </row>
    <row r="47" spans="1:7" x14ac:dyDescent="0.25">
      <c r="A47">
        <v>44</v>
      </c>
      <c r="B47" s="4">
        <f>-PPMT('Owner Occupier'!$D$41/12,'FHA Amotization'!$A47,360,'Owner Occupier'!$D$40,0,0)</f>
        <v>783.17110207525275</v>
      </c>
      <c r="C47" s="4">
        <f>-IPMT('Owner Occupier'!$D$41/12,'FHA Amotization'!$A47,360,'Owner Occupier'!$D$40,0,0)</f>
        <v>1618.8747198772685</v>
      </c>
      <c r="D47" s="4">
        <f t="shared" si="0"/>
        <v>2402.0458219525212</v>
      </c>
      <c r="E47" s="3">
        <f t="shared" si="1"/>
        <v>456310.86745150661</v>
      </c>
      <c r="F47" s="4">
        <f>('Owner Occupier'!$H$24-'Owner Occupier'!$D$52)/('Owner Occupier'!$D$56-'Owner Occupier'!$D$52)*B47</f>
        <v>372.629512993091</v>
      </c>
      <c r="G47" s="4">
        <f t="shared" si="2"/>
        <v>15210.945195908915</v>
      </c>
    </row>
    <row r="48" spans="1:7" x14ac:dyDescent="0.25">
      <c r="A48">
        <v>45</v>
      </c>
      <c r="B48" s="4">
        <f>-PPMT('Owner Occupier'!$D$41/12,'FHA Amotization'!$A48,360,'Owner Occupier'!$D$40,0,0)</f>
        <v>785.94483306176926</v>
      </c>
      <c r="C48" s="4">
        <f>-IPMT('Owner Occupier'!$D$41/12,'FHA Amotization'!$A48,360,'Owner Occupier'!$D$40,0,0)</f>
        <v>1616.1009888907522</v>
      </c>
      <c r="D48" s="4">
        <f t="shared" si="0"/>
        <v>2402.0458219525217</v>
      </c>
      <c r="E48" s="3">
        <f t="shared" si="1"/>
        <v>455524.92261844483</v>
      </c>
      <c r="F48" s="4">
        <f>('Owner Occupier'!$H$24-'Owner Occupier'!$D$52)/('Owner Occupier'!$D$56-'Owner Occupier'!$D$52)*B48</f>
        <v>373.9492425182749</v>
      </c>
      <c r="G48" s="4">
        <f t="shared" si="2"/>
        <v>15584.894438427189</v>
      </c>
    </row>
    <row r="49" spans="1:7" x14ac:dyDescent="0.25">
      <c r="A49">
        <v>46</v>
      </c>
      <c r="B49" s="4">
        <f>-PPMT('Owner Occupier'!$D$41/12,'FHA Amotization'!$A49,360,'Owner Occupier'!$D$40,0,0)</f>
        <v>788.7283876788631</v>
      </c>
      <c r="C49" s="4">
        <f>-IPMT('Owner Occupier'!$D$41/12,'FHA Amotization'!$A49,360,'Owner Occupier'!$D$40,0,0)</f>
        <v>1613.3174342736586</v>
      </c>
      <c r="D49" s="4">
        <f t="shared" si="0"/>
        <v>2402.0458219525217</v>
      </c>
      <c r="E49" s="3">
        <f t="shared" si="1"/>
        <v>454736.19423076598</v>
      </c>
      <c r="F49" s="4">
        <f>('Owner Occupier'!$H$24-'Owner Occupier'!$D$52)/('Owner Occupier'!$D$56-'Owner Occupier'!$D$52)*B49</f>
        <v>375.27364608552716</v>
      </c>
      <c r="G49" s="4">
        <f t="shared" si="2"/>
        <v>15960.168084512716</v>
      </c>
    </row>
    <row r="50" spans="1:7" x14ac:dyDescent="0.25">
      <c r="A50">
        <v>47</v>
      </c>
      <c r="B50" s="4">
        <f>-PPMT('Owner Occupier'!$D$41/12,'FHA Amotization'!$A50,360,'Owner Occupier'!$D$40,0,0)</f>
        <v>791.52180071855901</v>
      </c>
      <c r="C50" s="4">
        <f>-IPMT('Owner Occupier'!$D$41/12,'FHA Amotization'!$A50,360,'Owner Occupier'!$D$40,0,0)</f>
        <v>1610.5240212339622</v>
      </c>
      <c r="D50" s="4">
        <f t="shared" si="0"/>
        <v>2402.0458219525212</v>
      </c>
      <c r="E50" s="3">
        <f t="shared" si="1"/>
        <v>453944.67243004742</v>
      </c>
      <c r="F50" s="4">
        <f>('Owner Occupier'!$H$24-'Owner Occupier'!$D$52)/('Owner Occupier'!$D$56-'Owner Occupier'!$D$52)*B50</f>
        <v>376.60274024874667</v>
      </c>
      <c r="G50" s="4">
        <f t="shared" si="2"/>
        <v>16336.770824761463</v>
      </c>
    </row>
    <row r="51" spans="1:7" x14ac:dyDescent="0.25">
      <c r="A51">
        <v>48</v>
      </c>
      <c r="B51" s="4">
        <f>-PPMT('Owner Occupier'!$D$41/12,'FHA Amotization'!$A51,360,'Owner Occupier'!$D$40,0,0)</f>
        <v>794.32510709610381</v>
      </c>
      <c r="C51" s="4">
        <f>-IPMT('Owner Occupier'!$D$41/12,'FHA Amotization'!$A51,360,'Owner Occupier'!$D$40,0,0)</f>
        <v>1607.7207148564175</v>
      </c>
      <c r="D51" s="4">
        <f t="shared" si="0"/>
        <v>2402.0458219525212</v>
      </c>
      <c r="E51" s="3">
        <f t="shared" si="1"/>
        <v>453150.3473229513</v>
      </c>
      <c r="F51" s="4">
        <f>('Owner Occupier'!$H$24-'Owner Occupier'!$D$52)/('Owner Occupier'!$D$56-'Owner Occupier'!$D$52)*B51</f>
        <v>377.93654162046096</v>
      </c>
      <c r="G51" s="4">
        <f t="shared" si="2"/>
        <v>16714.707366381925</v>
      </c>
    </row>
    <row r="52" spans="1:7" x14ac:dyDescent="0.25">
      <c r="A52">
        <v>49</v>
      </c>
      <c r="B52" s="4">
        <f>-PPMT('Owner Occupier'!$D$41/12,'FHA Amotization'!$A52,360,'Owner Occupier'!$D$40,0,0)</f>
        <v>797.13834185040253</v>
      </c>
      <c r="C52" s="4">
        <f>-IPMT('Owner Occupier'!$D$41/12,'FHA Amotization'!$A52,360,'Owner Occupier'!$D$40,0,0)</f>
        <v>1604.9074801021188</v>
      </c>
      <c r="D52" s="4">
        <f t="shared" si="0"/>
        <v>2402.0458219525212</v>
      </c>
      <c r="E52" s="3">
        <f t="shared" si="1"/>
        <v>452353.20898110088</v>
      </c>
      <c r="F52" s="4">
        <f>('Owner Occupier'!$H$24-'Owner Occupier'!$D$52)/('Owner Occupier'!$D$56-'Owner Occupier'!$D$52)*B52</f>
        <v>379.27506687203339</v>
      </c>
      <c r="G52" s="4">
        <f t="shared" si="2"/>
        <v>17093.982433253957</v>
      </c>
    </row>
    <row r="53" spans="1:7" x14ac:dyDescent="0.25">
      <c r="A53">
        <v>50</v>
      </c>
      <c r="B53" s="4">
        <f>-PPMT('Owner Occupier'!$D$41/12,'FHA Amotization'!$A53,360,'Owner Occupier'!$D$40,0,0)</f>
        <v>799.96154014445619</v>
      </c>
      <c r="C53" s="4">
        <f>-IPMT('Owner Occupier'!$D$41/12,'FHA Amotization'!$A53,360,'Owner Occupier'!$D$40,0,0)</f>
        <v>1602.0842818080653</v>
      </c>
      <c r="D53" s="4">
        <f t="shared" si="0"/>
        <v>2402.0458219525217</v>
      </c>
      <c r="E53" s="3">
        <f t="shared" si="1"/>
        <v>451553.24744095642</v>
      </c>
      <c r="F53" s="4">
        <f>('Owner Occupier'!$H$24-'Owner Occupier'!$D$52)/('Owner Occupier'!$D$56-'Owner Occupier'!$D$52)*B53</f>
        <v>380.61833273387197</v>
      </c>
      <c r="G53" s="4">
        <f t="shared" si="2"/>
        <v>17474.600765987831</v>
      </c>
    </row>
    <row r="54" spans="1:7" x14ac:dyDescent="0.25">
      <c r="A54">
        <v>51</v>
      </c>
      <c r="B54" s="4">
        <f>-PPMT('Owner Occupier'!$D$41/12,'FHA Amotization'!$A54,360,'Owner Occupier'!$D$40,0,0)</f>
        <v>802.7947372658009</v>
      </c>
      <c r="C54" s="4">
        <f>-IPMT('Owner Occupier'!$D$41/12,'FHA Amotization'!$A54,360,'Owner Occupier'!$D$40,0,0)</f>
        <v>1599.2510846867206</v>
      </c>
      <c r="D54" s="4">
        <f t="shared" si="0"/>
        <v>2402.0458219525217</v>
      </c>
      <c r="E54" s="3">
        <f t="shared" si="1"/>
        <v>450750.45270369062</v>
      </c>
      <c r="F54" s="4">
        <f>('Owner Occupier'!$H$24-'Owner Occupier'!$D$52)/('Owner Occupier'!$D$56-'Owner Occupier'!$D$52)*B54</f>
        <v>381.96635599563763</v>
      </c>
      <c r="G54" s="4">
        <f t="shared" si="2"/>
        <v>17856.567121983469</v>
      </c>
    </row>
    <row r="55" spans="1:7" x14ac:dyDescent="0.25">
      <c r="A55">
        <v>52</v>
      </c>
      <c r="B55" s="4">
        <f>-PPMT('Owner Occupier'!$D$41/12,'FHA Amotization'!$A55,360,'Owner Occupier'!$D$40,0,0)</f>
        <v>805.63796862695085</v>
      </c>
      <c r="C55" s="4">
        <f>-IPMT('Owner Occupier'!$D$41/12,'FHA Amotization'!$A55,360,'Owner Occupier'!$D$40,0,0)</f>
        <v>1596.4078533255706</v>
      </c>
      <c r="D55" s="4">
        <f t="shared" si="0"/>
        <v>2402.0458219525217</v>
      </c>
      <c r="E55" s="3">
        <f t="shared" si="1"/>
        <v>449944.81473506364</v>
      </c>
      <c r="F55" s="4">
        <f>('Owner Occupier'!$H$24-'Owner Occupier'!$D$52)/('Owner Occupier'!$D$56-'Owner Occupier'!$D$52)*B55</f>
        <v>383.31915350645562</v>
      </c>
      <c r="G55" s="4">
        <f t="shared" si="2"/>
        <v>18239.886275489924</v>
      </c>
    </row>
    <row r="56" spans="1:7" x14ac:dyDescent="0.25">
      <c r="A56">
        <v>53</v>
      </c>
      <c r="B56" s="4">
        <f>-PPMT('Owner Occupier'!$D$41/12,'FHA Amotization'!$A56,360,'Owner Occupier'!$D$40,0,0)</f>
        <v>808.49126976583784</v>
      </c>
      <c r="C56" s="4">
        <f>-IPMT('Owner Occupier'!$D$41/12,'FHA Amotization'!$A56,360,'Owner Occupier'!$D$40,0,0)</f>
        <v>1593.5545521866836</v>
      </c>
      <c r="D56" s="4">
        <f t="shared" si="0"/>
        <v>2402.0458219525217</v>
      </c>
      <c r="E56" s="3">
        <f t="shared" si="1"/>
        <v>449136.32346529781</v>
      </c>
      <c r="F56" s="4">
        <f>('Owner Occupier'!$H$24-'Owner Occupier'!$D$52)/('Owner Occupier'!$D$56-'Owner Occupier'!$D$52)*B56</f>
        <v>384.67674217512428</v>
      </c>
      <c r="G56" s="4">
        <f t="shared" si="2"/>
        <v>18624.563017665048</v>
      </c>
    </row>
    <row r="57" spans="1:7" x14ac:dyDescent="0.25">
      <c r="A57">
        <v>54</v>
      </c>
      <c r="B57" s="4">
        <f>-PPMT('Owner Occupier'!$D$41/12,'FHA Amotization'!$A57,360,'Owner Occupier'!$D$40,0,0)</f>
        <v>811.35467634625854</v>
      </c>
      <c r="C57" s="4">
        <f>-IPMT('Owner Occupier'!$D$41/12,'FHA Amotization'!$A57,360,'Owner Occupier'!$D$40,0,0)</f>
        <v>1590.6911456062628</v>
      </c>
      <c r="D57" s="4">
        <f t="shared" si="0"/>
        <v>2402.0458219525212</v>
      </c>
      <c r="E57" s="3">
        <f t="shared" si="1"/>
        <v>448324.96878895158</v>
      </c>
      <c r="F57" s="4">
        <f>('Owner Occupier'!$H$24-'Owner Occupier'!$D$52)/('Owner Occupier'!$D$56-'Owner Occupier'!$D$52)*B57</f>
        <v>386.03913897032783</v>
      </c>
      <c r="G57" s="4">
        <f t="shared" si="2"/>
        <v>19010.602156635377</v>
      </c>
    </row>
    <row r="58" spans="1:7" x14ac:dyDescent="0.25">
      <c r="A58">
        <v>55</v>
      </c>
      <c r="B58" s="4">
        <f>-PPMT('Owner Occupier'!$D$41/12,'FHA Amotization'!$A58,360,'Owner Occupier'!$D$40,0,0)</f>
        <v>814.2282241583182</v>
      </c>
      <c r="C58" s="4">
        <f>-IPMT('Owner Occupier'!$D$41/12,'FHA Amotization'!$A58,360,'Owner Occupier'!$D$40,0,0)</f>
        <v>1587.8175977942033</v>
      </c>
      <c r="D58" s="4">
        <f t="shared" si="0"/>
        <v>2402.0458219525217</v>
      </c>
      <c r="E58" s="3">
        <f t="shared" si="1"/>
        <v>447510.74056479323</v>
      </c>
      <c r="F58" s="4">
        <f>('Owner Occupier'!$H$24-'Owner Occupier'!$D$52)/('Owner Occupier'!$D$56-'Owner Occupier'!$D$52)*B58</f>
        <v>387.40636092084776</v>
      </c>
      <c r="G58" s="4">
        <f t="shared" si="2"/>
        <v>19398.008517556224</v>
      </c>
    </row>
    <row r="59" spans="1:7" x14ac:dyDescent="0.25">
      <c r="A59">
        <v>56</v>
      </c>
      <c r="B59" s="4">
        <f>-PPMT('Owner Occupier'!$D$41/12,'FHA Amotization'!$A59,360,'Owner Occupier'!$D$40,0,0)</f>
        <v>817.1119491188789</v>
      </c>
      <c r="C59" s="4">
        <f>-IPMT('Owner Occupier'!$D$41/12,'FHA Amotization'!$A59,360,'Owner Occupier'!$D$40,0,0)</f>
        <v>1584.9338728336425</v>
      </c>
      <c r="D59" s="4">
        <f t="shared" si="0"/>
        <v>2402.0458219525212</v>
      </c>
      <c r="E59" s="3">
        <f t="shared" si="1"/>
        <v>446693.62861567433</v>
      </c>
      <c r="F59" s="4">
        <f>('Owner Occupier'!$H$24-'Owner Occupier'!$D$52)/('Owner Occupier'!$D$56-'Owner Occupier'!$D$52)*B59</f>
        <v>388.77842511577575</v>
      </c>
      <c r="G59" s="4">
        <f t="shared" si="2"/>
        <v>19786.786942671999</v>
      </c>
    </row>
    <row r="60" spans="1:7" x14ac:dyDescent="0.25">
      <c r="A60">
        <v>57</v>
      </c>
      <c r="B60" s="4">
        <f>-PPMT('Owner Occupier'!$D$41/12,'FHA Amotization'!$A60,360,'Owner Occupier'!$D$40,0,0)</f>
        <v>820.00588727200818</v>
      </c>
      <c r="C60" s="4">
        <f>-IPMT('Owner Occupier'!$D$41/12,'FHA Amotization'!$A60,360,'Owner Occupier'!$D$40,0,0)</f>
        <v>1582.0399346805132</v>
      </c>
      <c r="D60" s="4">
        <f t="shared" si="0"/>
        <v>2402.0458219525212</v>
      </c>
      <c r="E60" s="3">
        <f t="shared" si="1"/>
        <v>445873.62272840232</v>
      </c>
      <c r="F60" s="4">
        <f>('Owner Occupier'!$H$24-'Owner Occupier'!$D$52)/('Owner Occupier'!$D$56-'Owner Occupier'!$D$52)*B60</f>
        <v>390.15534870472743</v>
      </c>
      <c r="G60" s="4">
        <f t="shared" si="2"/>
        <v>20176.942291376727</v>
      </c>
    </row>
    <row r="61" spans="1:7" x14ac:dyDescent="0.25">
      <c r="A61">
        <v>58</v>
      </c>
      <c r="B61" s="4">
        <f>-PPMT('Owner Occupier'!$D$41/12,'FHA Amotization'!$A61,360,'Owner Occupier'!$D$40,0,0)</f>
        <v>822.91007478943004</v>
      </c>
      <c r="C61" s="4">
        <f>-IPMT('Owner Occupier'!$D$41/12,'FHA Amotization'!$A61,360,'Owner Occupier'!$D$40,0,0)</f>
        <v>1579.1357471630913</v>
      </c>
      <c r="D61" s="4">
        <f t="shared" si="0"/>
        <v>2402.0458219525212</v>
      </c>
      <c r="E61" s="3">
        <f t="shared" si="1"/>
        <v>445050.71265361289</v>
      </c>
      <c r="F61" s="4">
        <f>('Owner Occupier'!$H$24-'Owner Occupier'!$D$52)/('Owner Occupier'!$D$56-'Owner Occupier'!$D$52)*B61</f>
        <v>391.53714889805673</v>
      </c>
      <c r="G61" s="4">
        <f t="shared" si="2"/>
        <v>20568.479440274783</v>
      </c>
    </row>
    <row r="62" spans="1:7" x14ac:dyDescent="0.25">
      <c r="A62">
        <v>59</v>
      </c>
      <c r="B62" s="4">
        <f>-PPMT('Owner Occupier'!$D$41/12,'FHA Amotization'!$A62,360,'Owner Occupier'!$D$40,0,0)</f>
        <v>825.8245479709758</v>
      </c>
      <c r="C62" s="4">
        <f>-IPMT('Owner Occupier'!$D$41/12,'FHA Amotization'!$A62,360,'Owner Occupier'!$D$40,0,0)</f>
        <v>1576.2212739815454</v>
      </c>
      <c r="D62" s="4">
        <f t="shared" si="0"/>
        <v>2402.0458219525212</v>
      </c>
      <c r="E62" s="3">
        <f t="shared" si="1"/>
        <v>444224.88810564193</v>
      </c>
      <c r="F62" s="4">
        <f>('Owner Occupier'!$H$24-'Owner Occupier'!$D$52)/('Owner Occupier'!$D$56-'Owner Occupier'!$D$52)*B62</f>
        <v>392.92384296707064</v>
      </c>
      <c r="G62" s="4">
        <f t="shared" si="2"/>
        <v>20961.403283241852</v>
      </c>
    </row>
    <row r="63" spans="1:7" x14ac:dyDescent="0.25">
      <c r="A63">
        <v>60</v>
      </c>
      <c r="B63" s="4">
        <f>-PPMT('Owner Occupier'!$D$41/12,'FHA Amotization'!$A63,360,'Owner Occupier'!$D$40,0,0)</f>
        <v>828.74934324503977</v>
      </c>
      <c r="C63" s="4">
        <f>-IPMT('Owner Occupier'!$D$41/12,'FHA Amotization'!$A63,360,'Owner Occupier'!$D$40,0,0)</f>
        <v>1573.2964787074818</v>
      </c>
      <c r="D63" s="4">
        <f t="shared" si="0"/>
        <v>2402.0458219525217</v>
      </c>
      <c r="E63" s="3">
        <f t="shared" si="1"/>
        <v>443396.13876239688</v>
      </c>
      <c r="F63" s="4">
        <f>('Owner Occupier'!$H$24-'Owner Occupier'!$D$52)/('Owner Occupier'!$D$56-'Owner Occupier'!$D$52)*B63</f>
        <v>394.31544824424572</v>
      </c>
      <c r="G63" s="4">
        <f t="shared" si="2"/>
        <v>21355.718731486097</v>
      </c>
    </row>
    <row r="64" spans="1:7" x14ac:dyDescent="0.25">
      <c r="A64">
        <v>61</v>
      </c>
      <c r="B64" s="4">
        <f>-PPMT('Owner Occupier'!$D$41/12,'FHA Amotization'!$A64,360,'Owner Occupier'!$D$40,0,0)</f>
        <v>831.68449716903251</v>
      </c>
      <c r="C64" s="4">
        <f>-IPMT('Owner Occupier'!$D$41/12,'FHA Amotization'!$A64,360,'Owner Occupier'!$D$40,0,0)</f>
        <v>1570.361324783489</v>
      </c>
      <c r="D64" s="4">
        <f t="shared" si="0"/>
        <v>2402.0458219525217</v>
      </c>
      <c r="E64" s="3">
        <f t="shared" si="1"/>
        <v>442564.45426522783</v>
      </c>
      <c r="F64" s="4">
        <f>('Owner Occupier'!$H$24-'Owner Occupier'!$D$52)/('Owner Occupier'!$D$56-'Owner Occupier'!$D$52)*B64</f>
        <v>395.71198212344405</v>
      </c>
      <c r="G64" s="4">
        <f t="shared" si="2"/>
        <v>21751.430713609541</v>
      </c>
    </row>
    <row r="65" spans="1:7" x14ac:dyDescent="0.25">
      <c r="A65">
        <v>62</v>
      </c>
      <c r="B65" s="4">
        <f>-PPMT('Owner Occupier'!$D$41/12,'FHA Amotization'!$A65,360,'Owner Occupier'!$D$40,0,0)</f>
        <v>834.63004642983969</v>
      </c>
      <c r="C65" s="4">
        <f>-IPMT('Owner Occupier'!$D$41/12,'FHA Amotization'!$A65,360,'Owner Occupier'!$D$40,0,0)</f>
        <v>1567.4157755226818</v>
      </c>
      <c r="D65" s="4">
        <f t="shared" si="0"/>
        <v>2402.0458219525217</v>
      </c>
      <c r="E65" s="3">
        <f t="shared" si="1"/>
        <v>441729.82421879802</v>
      </c>
      <c r="F65" s="4">
        <f>('Owner Occupier'!$H$24-'Owner Occupier'!$D$52)/('Owner Occupier'!$D$56-'Owner Occupier'!$D$52)*B65</f>
        <v>397.11346206013133</v>
      </c>
      <c r="G65" s="4">
        <f t="shared" si="2"/>
        <v>22148.544175669671</v>
      </c>
    </row>
    <row r="66" spans="1:7" x14ac:dyDescent="0.25">
      <c r="A66">
        <v>63</v>
      </c>
      <c r="B66" s="4">
        <f>-PPMT('Owner Occupier'!$D$41/12,'FHA Amotization'!$A66,360,'Owner Occupier'!$D$40,0,0)</f>
        <v>837.58602784427853</v>
      </c>
      <c r="C66" s="4">
        <f>-IPMT('Owner Occupier'!$D$41/12,'FHA Amotization'!$A66,360,'Owner Occupier'!$D$40,0,0)</f>
        <v>1564.4597941082429</v>
      </c>
      <c r="D66" s="4">
        <f t="shared" si="0"/>
        <v>2402.0458219525217</v>
      </c>
      <c r="E66" s="3">
        <f t="shared" si="1"/>
        <v>440892.23819095374</v>
      </c>
      <c r="F66" s="4">
        <f>('Owner Occupier'!$H$24-'Owner Occupier'!$D$52)/('Owner Occupier'!$D$56-'Owner Occupier'!$D$52)*B66</f>
        <v>398.51990557159417</v>
      </c>
      <c r="G66" s="4">
        <f t="shared" si="2"/>
        <v>22547.064081241264</v>
      </c>
    </row>
    <row r="67" spans="1:7" x14ac:dyDescent="0.25">
      <c r="A67">
        <v>64</v>
      </c>
      <c r="B67" s="4">
        <f>-PPMT('Owner Occupier'!$D$41/12,'FHA Amotization'!$A67,360,'Owner Occupier'!$D$40,0,0)</f>
        <v>840.5524783595605</v>
      </c>
      <c r="C67" s="4">
        <f>-IPMT('Owner Occupier'!$D$41/12,'FHA Amotization'!$A67,360,'Owner Occupier'!$D$40,0,0)</f>
        <v>1561.4933435929609</v>
      </c>
      <c r="D67" s="4">
        <f t="shared" si="0"/>
        <v>2402.0458219525212</v>
      </c>
      <c r="E67" s="3">
        <f t="shared" si="1"/>
        <v>440051.68571259419</v>
      </c>
      <c r="F67" s="4">
        <f>('Owner Occupier'!$H$24-'Owner Occupier'!$D$52)/('Owner Occupier'!$D$56-'Owner Occupier'!$D$52)*B67</f>
        <v>399.9313302371603</v>
      </c>
      <c r="G67" s="4">
        <f t="shared" si="2"/>
        <v>22946.995411478423</v>
      </c>
    </row>
    <row r="68" spans="1:7" x14ac:dyDescent="0.25">
      <c r="A68">
        <v>65</v>
      </c>
      <c r="B68" s="4">
        <f>-PPMT('Owner Occupier'!$D$41/12,'FHA Amotization'!$A68,360,'Owner Occupier'!$D$40,0,0)</f>
        <v>843.52943505375049</v>
      </c>
      <c r="C68" s="4">
        <f>-IPMT('Owner Occupier'!$D$41/12,'FHA Amotization'!$A68,360,'Owner Occupier'!$D$40,0,0)</f>
        <v>1558.5163868987711</v>
      </c>
      <c r="D68" s="4">
        <f t="shared" si="0"/>
        <v>2402.0458219525217</v>
      </c>
      <c r="E68" s="3">
        <f t="shared" si="1"/>
        <v>439208.15627754043</v>
      </c>
      <c r="F68" s="4">
        <f>('Owner Occupier'!$H$24-'Owner Occupier'!$D$52)/('Owner Occupier'!$D$56-'Owner Occupier'!$D$52)*B68</f>
        <v>401.34775369841685</v>
      </c>
      <c r="G68" s="4">
        <f t="shared" si="2"/>
        <v>23348.343165176841</v>
      </c>
    </row>
    <row r="69" spans="1:7" x14ac:dyDescent="0.25">
      <c r="A69">
        <v>66</v>
      </c>
      <c r="B69" s="4">
        <f>-PPMT('Owner Occupier'!$D$41/12,'FHA Amotization'!$A69,360,'Owner Occupier'!$D$40,0,0)</f>
        <v>846.51693513623252</v>
      </c>
      <c r="C69" s="4">
        <f>-IPMT('Owner Occupier'!$D$41/12,'FHA Amotization'!$A69,360,'Owner Occupier'!$D$40,0,0)</f>
        <v>1555.5288868162888</v>
      </c>
      <c r="D69" s="4">
        <f t="shared" ref="D69:D132" si="3">B69+C69</f>
        <v>2402.0458219525212</v>
      </c>
      <c r="E69" s="3">
        <f t="shared" si="1"/>
        <v>438361.6393424042</v>
      </c>
      <c r="F69" s="4">
        <f>('Owner Occupier'!$H$24-'Owner Occupier'!$D$52)/('Owner Occupier'!$D$56-'Owner Occupier'!$D$52)*B69</f>
        <v>402.76919365943212</v>
      </c>
      <c r="G69" s="4">
        <f t="shared" si="2"/>
        <v>23751.112358836272</v>
      </c>
    </row>
    <row r="70" spans="1:7" x14ac:dyDescent="0.25">
      <c r="A70">
        <v>67</v>
      </c>
      <c r="B70" s="4">
        <f>-PPMT('Owner Occupier'!$D$41/12,'FHA Amotization'!$A70,360,'Owner Occupier'!$D$40,0,0)</f>
        <v>849.51501594817341</v>
      </c>
      <c r="C70" s="4">
        <f>-IPMT('Owner Occupier'!$D$41/12,'FHA Amotization'!$A70,360,'Owner Occupier'!$D$40,0,0)</f>
        <v>1552.5308060043478</v>
      </c>
      <c r="D70" s="4">
        <f t="shared" si="3"/>
        <v>2402.0458219525212</v>
      </c>
      <c r="E70" s="3">
        <f t="shared" ref="E70:E133" si="4">E69-B70</f>
        <v>437512.12432645605</v>
      </c>
      <c r="F70" s="4">
        <f>('Owner Occupier'!$H$24-'Owner Occupier'!$D$52)/('Owner Occupier'!$D$56-'Owner Occupier'!$D$52)*B70</f>
        <v>404.19566788697597</v>
      </c>
      <c r="G70" s="4">
        <f t="shared" ref="G70:G133" si="5">F70+G69</f>
        <v>24155.308026723247</v>
      </c>
    </row>
    <row r="71" spans="1:7" x14ac:dyDescent="0.25">
      <c r="A71">
        <v>68</v>
      </c>
      <c r="B71" s="4">
        <f>-PPMT('Owner Occupier'!$D$41/12,'FHA Amotization'!$A71,360,'Owner Occupier'!$D$40,0,0)</f>
        <v>852.52371496298986</v>
      </c>
      <c r="C71" s="4">
        <f>-IPMT('Owner Occupier'!$D$41/12,'FHA Amotization'!$A71,360,'Owner Occupier'!$D$40,0,0)</f>
        <v>1549.5221069895315</v>
      </c>
      <c r="D71" s="4">
        <f t="shared" si="3"/>
        <v>2402.0458219525212</v>
      </c>
      <c r="E71" s="3">
        <f t="shared" si="4"/>
        <v>436659.60061149305</v>
      </c>
      <c r="F71" s="4">
        <f>('Owner Occupier'!$H$24-'Owner Occupier'!$D$52)/('Owner Occupier'!$D$56-'Owner Occupier'!$D$52)*B71</f>
        <v>405.62719421074235</v>
      </c>
      <c r="G71" s="4">
        <f t="shared" si="5"/>
        <v>24560.935220933989</v>
      </c>
    </row>
    <row r="72" spans="1:7" x14ac:dyDescent="0.25">
      <c r="A72">
        <v>69</v>
      </c>
      <c r="B72" s="4">
        <f>-PPMT('Owner Occupier'!$D$41/12,'FHA Amotization'!$A72,360,'Owner Occupier'!$D$40,0,0)</f>
        <v>855.543069786817</v>
      </c>
      <c r="C72" s="4">
        <f>-IPMT('Owner Occupier'!$D$41/12,'FHA Amotization'!$A72,360,'Owner Occupier'!$D$40,0,0)</f>
        <v>1546.5027521657044</v>
      </c>
      <c r="D72" s="4">
        <f t="shared" si="3"/>
        <v>2402.0458219525212</v>
      </c>
      <c r="E72" s="3">
        <f t="shared" si="4"/>
        <v>435804.05754170625</v>
      </c>
      <c r="F72" s="4">
        <f>('Owner Occupier'!$H$24-'Owner Occupier'!$D$52)/('Owner Occupier'!$D$56-'Owner Occupier'!$D$52)*B72</f>
        <v>407.06379052357198</v>
      </c>
      <c r="G72" s="4">
        <f t="shared" si="5"/>
        <v>24967.999011457559</v>
      </c>
    </row>
    <row r="73" spans="1:7" x14ac:dyDescent="0.25">
      <c r="A73">
        <v>70</v>
      </c>
      <c r="B73" s="4">
        <f>-PPMT('Owner Occupier'!$D$41/12,'FHA Amotization'!$A73,360,'Owner Occupier'!$D$40,0,0)</f>
        <v>858.57311815897867</v>
      </c>
      <c r="C73" s="4">
        <f>-IPMT('Owner Occupier'!$D$41/12,'FHA Amotization'!$A73,360,'Owner Occupier'!$D$40,0,0)</f>
        <v>1543.4727037935425</v>
      </c>
      <c r="D73" s="4">
        <f t="shared" si="3"/>
        <v>2402.0458219525212</v>
      </c>
      <c r="E73" s="3">
        <f t="shared" si="4"/>
        <v>434945.48442354728</v>
      </c>
      <c r="F73" s="4">
        <f>('Owner Occupier'!$H$24-'Owner Occupier'!$D$52)/('Owner Occupier'!$D$56-'Owner Occupier'!$D$52)*B73</f>
        <v>408.5054747816763</v>
      </c>
      <c r="G73" s="4">
        <f t="shared" si="5"/>
        <v>25376.504486239235</v>
      </c>
    </row>
    <row r="74" spans="1:7" x14ac:dyDescent="0.25">
      <c r="A74">
        <v>71</v>
      </c>
      <c r="B74" s="4">
        <f>-PPMT('Owner Occupier'!$D$41/12,'FHA Amotization'!$A74,360,'Owner Occupier'!$D$40,0,0)</f>
        <v>861.61389795245827</v>
      </c>
      <c r="C74" s="4">
        <f>-IPMT('Owner Occupier'!$D$41/12,'FHA Amotization'!$A74,360,'Owner Occupier'!$D$40,0,0)</f>
        <v>1540.4319240000632</v>
      </c>
      <c r="D74" s="4">
        <f t="shared" si="3"/>
        <v>2402.0458219525217</v>
      </c>
      <c r="E74" s="3">
        <f t="shared" si="4"/>
        <v>434083.8705255948</v>
      </c>
      <c r="F74" s="4">
        <f>('Owner Occupier'!$H$24-'Owner Occupier'!$D$52)/('Owner Occupier'!$D$56-'Owner Occupier'!$D$52)*B74</f>
        <v>409.95226500486137</v>
      </c>
      <c r="G74" s="4">
        <f t="shared" si="5"/>
        <v>25786.456751244095</v>
      </c>
    </row>
    <row r="75" spans="1:7" x14ac:dyDescent="0.25">
      <c r="A75">
        <v>72</v>
      </c>
      <c r="B75" s="4">
        <f>-PPMT('Owner Occupier'!$D$41/12,'FHA Amotization'!$A75,360,'Owner Occupier'!$D$40,0,0)</f>
        <v>864.66544717437341</v>
      </c>
      <c r="C75" s="4">
        <f>-IPMT('Owner Occupier'!$D$41/12,'FHA Amotization'!$A75,360,'Owner Occupier'!$D$40,0,0)</f>
        <v>1537.3803747781478</v>
      </c>
      <c r="D75" s="4">
        <f t="shared" si="3"/>
        <v>2402.0458219525212</v>
      </c>
      <c r="E75" s="3">
        <f t="shared" si="4"/>
        <v>433219.2050784204</v>
      </c>
      <c r="F75" s="4">
        <f>('Owner Occupier'!$H$24-'Owner Occupier'!$D$52)/('Owner Occupier'!$D$56-'Owner Occupier'!$D$52)*B75</f>
        <v>411.40417927675367</v>
      </c>
      <c r="G75" s="4">
        <f t="shared" si="5"/>
        <v>26197.860930520848</v>
      </c>
    </row>
    <row r="76" spans="1:7" x14ac:dyDescent="0.25">
      <c r="A76">
        <v>73</v>
      </c>
      <c r="B76" s="4">
        <f>-PPMT('Owner Occupier'!$D$41/12,'FHA Amotization'!$A76,360,'Owner Occupier'!$D$40,0,0)</f>
        <v>867.7278039664493</v>
      </c>
      <c r="C76" s="4">
        <f>-IPMT('Owner Occupier'!$D$41/12,'FHA Amotization'!$A76,360,'Owner Occupier'!$D$40,0,0)</f>
        <v>1534.3180179860722</v>
      </c>
      <c r="D76" s="4">
        <f t="shared" si="3"/>
        <v>2402.0458219525217</v>
      </c>
      <c r="E76" s="3">
        <f t="shared" si="4"/>
        <v>432351.47727445397</v>
      </c>
      <c r="F76" s="4">
        <f>('Owner Occupier'!$H$24-'Owner Occupier'!$D$52)/('Owner Occupier'!$D$56-'Owner Occupier'!$D$52)*B76</f>
        <v>412.86123574502551</v>
      </c>
      <c r="G76" s="4">
        <f t="shared" si="5"/>
        <v>26610.722166265874</v>
      </c>
    </row>
    <row r="77" spans="1:7" x14ac:dyDescent="0.25">
      <c r="A77">
        <v>74</v>
      </c>
      <c r="B77" s="4">
        <f>-PPMT('Owner Occupier'!$D$41/12,'FHA Amotization'!$A77,360,'Owner Occupier'!$D$40,0,0)</f>
        <v>870.80100660549726</v>
      </c>
      <c r="C77" s="4">
        <f>-IPMT('Owner Occupier'!$D$41/12,'FHA Amotization'!$A77,360,'Owner Occupier'!$D$40,0,0)</f>
        <v>1531.2448153470241</v>
      </c>
      <c r="D77" s="4">
        <f t="shared" si="3"/>
        <v>2402.0458219525212</v>
      </c>
      <c r="E77" s="3">
        <f t="shared" si="4"/>
        <v>431480.67626784847</v>
      </c>
      <c r="F77" s="4">
        <f>('Owner Occupier'!$H$24-'Owner Occupier'!$D$52)/('Owner Occupier'!$D$56-'Owner Occupier'!$D$52)*B77</f>
        <v>414.32345262162249</v>
      </c>
      <c r="G77" s="4">
        <f t="shared" si="5"/>
        <v>27025.045618887496</v>
      </c>
    </row>
    <row r="78" spans="1:7" x14ac:dyDescent="0.25">
      <c r="A78">
        <v>75</v>
      </c>
      <c r="B78" s="4">
        <f>-PPMT('Owner Occupier'!$D$41/12,'FHA Amotization'!$A78,360,'Owner Occupier'!$D$40,0,0)</f>
        <v>873.88509350389165</v>
      </c>
      <c r="C78" s="4">
        <f>-IPMT('Owner Occupier'!$D$41/12,'FHA Amotization'!$A78,360,'Owner Occupier'!$D$40,0,0)</f>
        <v>1528.1607284486299</v>
      </c>
      <c r="D78" s="4">
        <f t="shared" si="3"/>
        <v>2402.0458219525217</v>
      </c>
      <c r="E78" s="3">
        <f t="shared" si="4"/>
        <v>430606.7911743446</v>
      </c>
      <c r="F78" s="4">
        <f>('Owner Occupier'!$H$24-'Owner Occupier'!$D$52)/('Owner Occupier'!$D$56-'Owner Occupier'!$D$52)*B78</f>
        <v>415.79084818299071</v>
      </c>
      <c r="G78" s="4">
        <f t="shared" si="5"/>
        <v>27440.836467070487</v>
      </c>
    </row>
    <row r="79" spans="1:7" x14ac:dyDescent="0.25">
      <c r="A79">
        <v>76</v>
      </c>
      <c r="B79" s="4">
        <f>-PPMT('Owner Occupier'!$D$41/12,'FHA Amotization'!$A79,360,'Owner Occupier'!$D$40,0,0)</f>
        <v>876.98010321005131</v>
      </c>
      <c r="C79" s="4">
        <f>-IPMT('Owner Occupier'!$D$41/12,'FHA Amotization'!$A79,360,'Owner Occupier'!$D$40,0,0)</f>
        <v>1525.0657187424702</v>
      </c>
      <c r="D79" s="4">
        <f t="shared" si="3"/>
        <v>2402.0458219525217</v>
      </c>
      <c r="E79" s="3">
        <f t="shared" si="4"/>
        <v>429729.81107113452</v>
      </c>
      <c r="F79" s="4">
        <f>('Owner Occupier'!$H$24-'Owner Occupier'!$D$52)/('Owner Occupier'!$D$56-'Owner Occupier'!$D$52)*B79</f>
        <v>417.26344077030552</v>
      </c>
      <c r="G79" s="4">
        <f t="shared" si="5"/>
        <v>27858.099907840791</v>
      </c>
    </row>
    <row r="80" spans="1:7" x14ac:dyDescent="0.25">
      <c r="A80">
        <v>77</v>
      </c>
      <c r="B80" s="4">
        <f>-PPMT('Owner Occupier'!$D$41/12,'FHA Amotization'!$A80,360,'Owner Occupier'!$D$40,0,0)</f>
        <v>880.08607440892013</v>
      </c>
      <c r="C80" s="4">
        <f>-IPMT('Owner Occupier'!$D$41/12,'FHA Amotization'!$A80,360,'Owner Occupier'!$D$40,0,0)</f>
        <v>1521.9597475436012</v>
      </c>
      <c r="D80" s="4">
        <f t="shared" si="3"/>
        <v>2402.0458219525212</v>
      </c>
      <c r="E80" s="3">
        <f t="shared" si="4"/>
        <v>428849.72499672562</v>
      </c>
      <c r="F80" s="4">
        <f>('Owner Occupier'!$H$24-'Owner Occupier'!$D$52)/('Owner Occupier'!$D$56-'Owner Occupier'!$D$52)*B80</f>
        <v>418.74124878970031</v>
      </c>
      <c r="G80" s="4">
        <f t="shared" si="5"/>
        <v>28276.841156630493</v>
      </c>
    </row>
    <row r="81" spans="1:7" x14ac:dyDescent="0.25">
      <c r="A81">
        <v>78</v>
      </c>
      <c r="B81" s="4">
        <f>-PPMT('Owner Occupier'!$D$41/12,'FHA Amotization'!$A81,360,'Owner Occupier'!$D$40,0,0)</f>
        <v>883.20304592245179</v>
      </c>
      <c r="C81" s="4">
        <f>-IPMT('Owner Occupier'!$D$41/12,'FHA Amotization'!$A81,360,'Owner Occupier'!$D$40,0,0)</f>
        <v>1518.8427760300697</v>
      </c>
      <c r="D81" s="4">
        <f t="shared" si="3"/>
        <v>2402.0458219525217</v>
      </c>
      <c r="E81" s="3">
        <f t="shared" si="4"/>
        <v>427966.52195080317</v>
      </c>
      <c r="F81" s="4">
        <f>('Owner Occupier'!$H$24-'Owner Occupier'!$D$52)/('Owner Occupier'!$D$56-'Owner Occupier'!$D$52)*B81</f>
        <v>420.22429071249718</v>
      </c>
      <c r="G81" s="4">
        <f t="shared" si="5"/>
        <v>28697.06544734299</v>
      </c>
    </row>
    <row r="82" spans="1:7" x14ac:dyDescent="0.25">
      <c r="A82">
        <v>79</v>
      </c>
      <c r="B82" s="4">
        <f>-PPMT('Owner Occupier'!$D$41/12,'FHA Amotization'!$A82,360,'Owner Occupier'!$D$40,0,0)</f>
        <v>886.33105671009378</v>
      </c>
      <c r="C82" s="4">
        <f>-IPMT('Owner Occupier'!$D$41/12,'FHA Amotization'!$A82,360,'Owner Occupier'!$D$40,0,0)</f>
        <v>1515.7147652424276</v>
      </c>
      <c r="D82" s="4">
        <f t="shared" si="3"/>
        <v>2402.0458219525212</v>
      </c>
      <c r="E82" s="3">
        <f t="shared" si="4"/>
        <v>427080.19089409307</v>
      </c>
      <c r="F82" s="4">
        <f>('Owner Occupier'!$H$24-'Owner Occupier'!$D$52)/('Owner Occupier'!$D$56-'Owner Occupier'!$D$52)*B82</f>
        <v>421.71258507543723</v>
      </c>
      <c r="G82" s="4">
        <f t="shared" si="5"/>
        <v>29118.778032418428</v>
      </c>
    </row>
    <row r="83" spans="1:7" x14ac:dyDescent="0.25">
      <c r="A83">
        <v>80</v>
      </c>
      <c r="B83" s="4">
        <f>-PPMT('Owner Occupier'!$D$41/12,'FHA Amotization'!$A83,360,'Owner Occupier'!$D$40,0,0)</f>
        <v>889.47014586927537</v>
      </c>
      <c r="C83" s="4">
        <f>-IPMT('Owner Occupier'!$D$41/12,'FHA Amotization'!$A83,360,'Owner Occupier'!$D$40,0,0)</f>
        <v>1512.5756760832458</v>
      </c>
      <c r="D83" s="4">
        <f t="shared" si="3"/>
        <v>2402.0458219525212</v>
      </c>
      <c r="E83" s="3">
        <f t="shared" si="4"/>
        <v>426190.72074822377</v>
      </c>
      <c r="F83" s="4">
        <f>('Owner Occupier'!$H$24-'Owner Occupier'!$D$52)/('Owner Occupier'!$D$56-'Owner Occupier'!$D$52)*B83</f>
        <v>423.20615048091275</v>
      </c>
      <c r="G83" s="4">
        <f t="shared" si="5"/>
        <v>29541.984182899341</v>
      </c>
    </row>
    <row r="84" spans="1:7" x14ac:dyDescent="0.25">
      <c r="A84">
        <v>81</v>
      </c>
      <c r="B84" s="4">
        <f>-PPMT('Owner Occupier'!$D$41/12,'FHA Amotization'!$A84,360,'Owner Occupier'!$D$40,0,0)</f>
        <v>892.62035263589564</v>
      </c>
      <c r="C84" s="4">
        <f>-IPMT('Owner Occupier'!$D$41/12,'FHA Amotization'!$A84,360,'Owner Occupier'!$D$40,0,0)</f>
        <v>1509.4254693166254</v>
      </c>
      <c r="D84" s="4">
        <f t="shared" si="3"/>
        <v>2402.0458219525208</v>
      </c>
      <c r="E84" s="3">
        <f t="shared" si="4"/>
        <v>425298.10039558786</v>
      </c>
      <c r="F84" s="4">
        <f>('Owner Occupier'!$H$24-'Owner Occupier'!$D$52)/('Owner Occupier'!$D$56-'Owner Occupier'!$D$52)*B84</f>
        <v>424.70500559719932</v>
      </c>
      <c r="G84" s="4">
        <f t="shared" si="5"/>
        <v>29966.689188496541</v>
      </c>
    </row>
    <row r="85" spans="1:7" x14ac:dyDescent="0.25">
      <c r="A85">
        <v>82</v>
      </c>
      <c r="B85" s="4">
        <f>-PPMT('Owner Occupier'!$D$41/12,'FHA Amotization'!$A85,360,'Owner Occupier'!$D$40,0,0)</f>
        <v>895.78171638481456</v>
      </c>
      <c r="C85" s="4">
        <f>-IPMT('Owner Occupier'!$D$41/12,'FHA Amotization'!$A85,360,'Owner Occupier'!$D$40,0,0)</f>
        <v>1506.2641055677068</v>
      </c>
      <c r="D85" s="4">
        <f t="shared" si="3"/>
        <v>2402.0458219525212</v>
      </c>
      <c r="E85" s="3">
        <f t="shared" si="4"/>
        <v>424402.31867920305</v>
      </c>
      <c r="F85" s="4">
        <f>('Owner Occupier'!$H$24-'Owner Occupier'!$D$52)/('Owner Occupier'!$D$56-'Owner Occupier'!$D$52)*B85</f>
        <v>426.20916915868941</v>
      </c>
      <c r="G85" s="4">
        <f t="shared" si="5"/>
        <v>30392.898357655231</v>
      </c>
    </row>
    <row r="86" spans="1:7" x14ac:dyDescent="0.25">
      <c r="A86">
        <v>83</v>
      </c>
      <c r="B86" s="4">
        <f>-PPMT('Owner Occupier'!$D$41/12,'FHA Amotization'!$A86,360,'Owner Occupier'!$D$40,0,0)</f>
        <v>898.954276630344</v>
      </c>
      <c r="C86" s="4">
        <f>-IPMT('Owner Occupier'!$D$41/12,'FHA Amotization'!$A86,360,'Owner Occupier'!$D$40,0,0)</f>
        <v>1503.0915453221774</v>
      </c>
      <c r="D86" s="4">
        <f t="shared" si="3"/>
        <v>2402.0458219525212</v>
      </c>
      <c r="E86" s="3">
        <f t="shared" si="4"/>
        <v>423503.36440257268</v>
      </c>
      <c r="F86" s="4">
        <f>('Owner Occupier'!$H$24-'Owner Occupier'!$D$52)/('Owner Occupier'!$D$56-'Owner Occupier'!$D$52)*B86</f>
        <v>427.71865996612638</v>
      </c>
      <c r="G86" s="4">
        <f t="shared" si="5"/>
        <v>30820.617017621356</v>
      </c>
    </row>
    <row r="87" spans="1:7" x14ac:dyDescent="0.25">
      <c r="A87">
        <v>84</v>
      </c>
      <c r="B87" s="4">
        <f>-PPMT('Owner Occupier'!$D$41/12,'FHA Amotization'!$A87,360,'Owner Occupier'!$D$40,0,0)</f>
        <v>902.1380730267432</v>
      </c>
      <c r="C87" s="4">
        <f>-IPMT('Owner Occupier'!$D$41/12,'FHA Amotization'!$A87,360,'Owner Occupier'!$D$40,0,0)</f>
        <v>1499.9077489257779</v>
      </c>
      <c r="D87" s="4">
        <f t="shared" si="3"/>
        <v>2402.0458219525212</v>
      </c>
      <c r="E87" s="3">
        <f t="shared" si="4"/>
        <v>422601.22632954596</v>
      </c>
      <c r="F87" s="4">
        <f>('Owner Occupier'!$H$24-'Owner Occupier'!$D$52)/('Owner Occupier'!$D$56-'Owner Occupier'!$D$52)*B87</f>
        <v>429.23349688683982</v>
      </c>
      <c r="G87" s="4">
        <f t="shared" si="5"/>
        <v>31249.850514508194</v>
      </c>
    </row>
    <row r="88" spans="1:7" x14ac:dyDescent="0.25">
      <c r="A88">
        <v>85</v>
      </c>
      <c r="B88" s="4">
        <f>-PPMT('Owner Occupier'!$D$41/12,'FHA Amotization'!$A88,360,'Owner Occupier'!$D$40,0,0)</f>
        <v>905.33314536871285</v>
      </c>
      <c r="C88" s="4">
        <f>-IPMT('Owner Occupier'!$D$41/12,'FHA Amotization'!$A88,360,'Owner Occupier'!$D$40,0,0)</f>
        <v>1496.7126765838084</v>
      </c>
      <c r="D88" s="4">
        <f t="shared" si="3"/>
        <v>2402.0458219525212</v>
      </c>
      <c r="E88" s="3">
        <f t="shared" si="4"/>
        <v>421695.89318417723</v>
      </c>
      <c r="F88" s="4">
        <f>('Owner Occupier'!$H$24-'Owner Occupier'!$D$52)/('Owner Occupier'!$D$56-'Owner Occupier'!$D$52)*B88</f>
        <v>430.75369885498066</v>
      </c>
      <c r="G88" s="4">
        <f t="shared" si="5"/>
        <v>31680.604213363174</v>
      </c>
    </row>
    <row r="89" spans="1:7" x14ac:dyDescent="0.25">
      <c r="A89">
        <v>86</v>
      </c>
      <c r="B89" s="4">
        <f>-PPMT('Owner Occupier'!$D$41/12,'FHA Amotization'!$A89,360,'Owner Occupier'!$D$40,0,0)</f>
        <v>908.53953359189381</v>
      </c>
      <c r="C89" s="4">
        <f>-IPMT('Owner Occupier'!$D$41/12,'FHA Amotization'!$A89,360,'Owner Occupier'!$D$40,0,0)</f>
        <v>1493.5062883606279</v>
      </c>
      <c r="D89" s="4">
        <f t="shared" si="3"/>
        <v>2402.0458219525217</v>
      </c>
      <c r="E89" s="3">
        <f t="shared" si="4"/>
        <v>420787.35365058534</v>
      </c>
      <c r="F89" s="4">
        <f>('Owner Occupier'!$H$24-'Owner Occupier'!$D$52)/('Owner Occupier'!$D$56-'Owner Occupier'!$D$52)*B89</f>
        <v>432.27928487175876</v>
      </c>
      <c r="G89" s="4">
        <f t="shared" si="5"/>
        <v>32112.883498234933</v>
      </c>
    </row>
    <row r="90" spans="1:7" x14ac:dyDescent="0.25">
      <c r="A90">
        <v>87</v>
      </c>
      <c r="B90" s="4">
        <f>-PPMT('Owner Occupier'!$D$41/12,'FHA Amotization'!$A90,360,'Owner Occupier'!$D$40,0,0)</f>
        <v>911.7572777733651</v>
      </c>
      <c r="C90" s="4">
        <f>-IPMT('Owner Occupier'!$D$41/12,'FHA Amotization'!$A90,360,'Owner Occupier'!$D$40,0,0)</f>
        <v>1490.2885441791564</v>
      </c>
      <c r="D90" s="4">
        <f t="shared" si="3"/>
        <v>2402.0458219525217</v>
      </c>
      <c r="E90" s="3">
        <f t="shared" si="4"/>
        <v>419875.596372812</v>
      </c>
      <c r="F90" s="4">
        <f>('Owner Occupier'!$H$24-'Owner Occupier'!$D$52)/('Owner Occupier'!$D$56-'Owner Occupier'!$D$52)*B90</f>
        <v>433.81027400567956</v>
      </c>
      <c r="G90" s="4">
        <f t="shared" si="5"/>
        <v>32546.693772240611</v>
      </c>
    </row>
    <row r="91" spans="1:7" x14ac:dyDescent="0.25">
      <c r="A91">
        <v>88</v>
      </c>
      <c r="B91" s="4">
        <f>-PPMT('Owner Occupier'!$D$41/12,'FHA Amotization'!$A91,360,'Owner Occupier'!$D$40,0,0)</f>
        <v>914.98641813214579</v>
      </c>
      <c r="C91" s="4">
        <f>-IPMT('Owner Occupier'!$D$41/12,'FHA Amotization'!$A91,360,'Owner Occupier'!$D$40,0,0)</f>
        <v>1487.0594038203758</v>
      </c>
      <c r="D91" s="4">
        <f t="shared" si="3"/>
        <v>2402.0458219525217</v>
      </c>
      <c r="E91" s="3">
        <f t="shared" si="4"/>
        <v>418960.60995467985</v>
      </c>
      <c r="F91" s="4">
        <f>('Owner Occupier'!$H$24-'Owner Occupier'!$D$52)/('Owner Occupier'!$D$56-'Owner Occupier'!$D$52)*B91</f>
        <v>435.34668539278306</v>
      </c>
      <c r="G91" s="4">
        <f t="shared" si="5"/>
        <v>32982.040457633397</v>
      </c>
    </row>
    <row r="92" spans="1:7" x14ac:dyDescent="0.25">
      <c r="A92">
        <v>89</v>
      </c>
      <c r="B92" s="4">
        <f>-PPMT('Owner Occupier'!$D$41/12,'FHA Amotization'!$A92,360,'Owner Occupier'!$D$40,0,0)</f>
        <v>918.22699502969715</v>
      </c>
      <c r="C92" s="4">
        <f>-IPMT('Owner Occupier'!$D$41/12,'FHA Amotization'!$A92,360,'Owner Occupier'!$D$40,0,0)</f>
        <v>1483.8188269228242</v>
      </c>
      <c r="D92" s="4">
        <f t="shared" si="3"/>
        <v>2402.0458219525212</v>
      </c>
      <c r="E92" s="3">
        <f t="shared" si="4"/>
        <v>418042.38295965013</v>
      </c>
      <c r="F92" s="4">
        <f>('Owner Occupier'!$H$24-'Owner Occupier'!$D$52)/('Owner Occupier'!$D$56-'Owner Occupier'!$D$52)*B92</f>
        <v>436.88853823688248</v>
      </c>
      <c r="G92" s="4">
        <f t="shared" si="5"/>
        <v>33418.928995870279</v>
      </c>
    </row>
    <row r="93" spans="1:7" x14ac:dyDescent="0.25">
      <c r="A93">
        <v>90</v>
      </c>
      <c r="B93" s="4">
        <f>-PPMT('Owner Occupier'!$D$41/12,'FHA Amotization'!$A93,360,'Owner Occupier'!$D$40,0,0)</f>
        <v>921.47904897042713</v>
      </c>
      <c r="C93" s="4">
        <f>-IPMT('Owner Occupier'!$D$41/12,'FHA Amotization'!$A93,360,'Owner Occupier'!$D$40,0,0)</f>
        <v>1480.5667729820941</v>
      </c>
      <c r="D93" s="4">
        <f t="shared" si="3"/>
        <v>2402.0458219525212</v>
      </c>
      <c r="E93" s="3">
        <f t="shared" si="4"/>
        <v>417120.90391067968</v>
      </c>
      <c r="F93" s="4">
        <f>('Owner Occupier'!$H$24-'Owner Occupier'!$D$52)/('Owner Occupier'!$D$56-'Owner Occupier'!$D$52)*B93</f>
        <v>438.43585180980466</v>
      </c>
      <c r="G93" s="4">
        <f t="shared" si="5"/>
        <v>33857.364847680081</v>
      </c>
    </row>
    <row r="94" spans="1:7" x14ac:dyDescent="0.25">
      <c r="A94">
        <v>91</v>
      </c>
      <c r="B94" s="4">
        <f>-PPMT('Owner Occupier'!$D$41/12,'FHA Amotization'!$A94,360,'Owner Occupier'!$D$40,0,0)</f>
        <v>924.74262060219746</v>
      </c>
      <c r="C94" s="4">
        <f>-IPMT('Owner Occupier'!$D$41/12,'FHA Amotization'!$A94,360,'Owner Occupier'!$D$40,0,0)</f>
        <v>1477.3032013503239</v>
      </c>
      <c r="D94" s="4">
        <f t="shared" si="3"/>
        <v>2402.0458219525212</v>
      </c>
      <c r="E94" s="3">
        <f t="shared" si="4"/>
        <v>416196.16129007749</v>
      </c>
      <c r="F94" s="4">
        <f>('Owner Occupier'!$H$24-'Owner Occupier'!$D$52)/('Owner Occupier'!$D$56-'Owner Occupier'!$D$52)*B94</f>
        <v>439.9886454516311</v>
      </c>
      <c r="G94" s="4">
        <f t="shared" si="5"/>
        <v>34297.353493131712</v>
      </c>
    </row>
    <row r="95" spans="1:7" x14ac:dyDescent="0.25">
      <c r="A95">
        <v>92</v>
      </c>
      <c r="B95" s="4">
        <f>-PPMT('Owner Occupier'!$D$41/12,'FHA Amotization'!$A95,360,'Owner Occupier'!$D$40,0,0)</f>
        <v>928.01775071683028</v>
      </c>
      <c r="C95" s="4">
        <f>-IPMT('Owner Occupier'!$D$41/12,'FHA Amotization'!$A95,360,'Owner Occupier'!$D$40,0,0)</f>
        <v>1474.0280712356912</v>
      </c>
      <c r="D95" s="4">
        <f t="shared" si="3"/>
        <v>2402.0458219525217</v>
      </c>
      <c r="E95" s="3">
        <f t="shared" si="4"/>
        <v>415268.14353936067</v>
      </c>
      <c r="F95" s="4">
        <f>('Owner Occupier'!$H$24-'Owner Occupier'!$D$52)/('Owner Occupier'!$D$56-'Owner Occupier'!$D$52)*B95</f>
        <v>441.54693857093901</v>
      </c>
      <c r="G95" s="4">
        <f t="shared" si="5"/>
        <v>34738.900431702648</v>
      </c>
    </row>
    <row r="96" spans="1:7" x14ac:dyDescent="0.25">
      <c r="A96">
        <v>93</v>
      </c>
      <c r="B96" s="4">
        <f>-PPMT('Owner Occupier'!$D$41/12,'FHA Amotization'!$A96,360,'Owner Occupier'!$D$40,0,0)</f>
        <v>931.30448025061912</v>
      </c>
      <c r="C96" s="4">
        <f>-IPMT('Owner Occupier'!$D$41/12,'FHA Amotization'!$A96,360,'Owner Occupier'!$D$40,0,0)</f>
        <v>1470.741341701902</v>
      </c>
      <c r="D96" s="4">
        <f t="shared" si="3"/>
        <v>2402.0458219525212</v>
      </c>
      <c r="E96" s="3">
        <f t="shared" si="4"/>
        <v>414336.83905911003</v>
      </c>
      <c r="F96" s="4">
        <f>('Owner Occupier'!$H$24-'Owner Occupier'!$D$52)/('Owner Occupier'!$D$56-'Owner Occupier'!$D$52)*B96</f>
        <v>443.11075064504445</v>
      </c>
      <c r="G96" s="4">
        <f t="shared" si="5"/>
        <v>35182.011182347691</v>
      </c>
    </row>
    <row r="97" spans="1:7" x14ac:dyDescent="0.25">
      <c r="A97">
        <v>94</v>
      </c>
      <c r="B97" s="4">
        <f>-PPMT('Owner Occupier'!$D$41/12,'FHA Amotization'!$A97,360,'Owner Occupier'!$D$40,0,0)</f>
        <v>934.60285028484009</v>
      </c>
      <c r="C97" s="4">
        <f>-IPMT('Owner Occupier'!$D$41/12,'FHA Amotization'!$A97,360,'Owner Occupier'!$D$40,0,0)</f>
        <v>1467.4429716676814</v>
      </c>
      <c r="D97" s="4">
        <f t="shared" si="3"/>
        <v>2402.0458219525217</v>
      </c>
      <c r="E97" s="3">
        <f t="shared" si="4"/>
        <v>413402.2362088252</v>
      </c>
      <c r="F97" s="4">
        <f>('Owner Occupier'!$H$24-'Owner Occupier'!$D$52)/('Owner Occupier'!$D$56-'Owner Occupier'!$D$52)*B97</f>
        <v>444.68010122024566</v>
      </c>
      <c r="G97" s="4">
        <f t="shared" si="5"/>
        <v>35626.69128356794</v>
      </c>
    </row>
    <row r="98" spans="1:7" x14ac:dyDescent="0.25">
      <c r="A98">
        <v>95</v>
      </c>
      <c r="B98" s="4">
        <f>-PPMT('Owner Occupier'!$D$41/12,'FHA Amotization'!$A98,360,'Owner Occupier'!$D$40,0,0)</f>
        <v>937.91290204626557</v>
      </c>
      <c r="C98" s="4">
        <f>-IPMT('Owner Occupier'!$D$41/12,'FHA Amotization'!$A98,360,'Owner Occupier'!$D$40,0,0)</f>
        <v>1464.1329199062559</v>
      </c>
      <c r="D98" s="4">
        <f t="shared" si="3"/>
        <v>2402.0458219525217</v>
      </c>
      <c r="E98" s="3">
        <f t="shared" si="4"/>
        <v>412464.32330677891</v>
      </c>
      <c r="F98" s="4">
        <f>('Owner Occupier'!$H$24-'Owner Occupier'!$D$52)/('Owner Occupier'!$D$56-'Owner Occupier'!$D$52)*B98</f>
        <v>446.25500991206735</v>
      </c>
      <c r="G98" s="4">
        <f t="shared" si="5"/>
        <v>36072.94629348001</v>
      </c>
    </row>
    <row r="99" spans="1:7" x14ac:dyDescent="0.25">
      <c r="A99">
        <v>96</v>
      </c>
      <c r="B99" s="4">
        <f>-PPMT('Owner Occupier'!$D$41/12,'FHA Amotization'!$A99,360,'Owner Occupier'!$D$40,0,0)</f>
        <v>941.23467690767927</v>
      </c>
      <c r="C99" s="4">
        <f>-IPMT('Owner Occupier'!$D$41/12,'FHA Amotization'!$A99,360,'Owner Occupier'!$D$40,0,0)</f>
        <v>1460.8111450448416</v>
      </c>
      <c r="D99" s="4">
        <f t="shared" si="3"/>
        <v>2402.0458219525208</v>
      </c>
      <c r="E99" s="3">
        <f t="shared" si="4"/>
        <v>411523.08862987126</v>
      </c>
      <c r="F99" s="4">
        <f>('Owner Occupier'!$H$24-'Owner Occupier'!$D$52)/('Owner Occupier'!$D$56-'Owner Occupier'!$D$52)*B99</f>
        <v>447.83549640550586</v>
      </c>
      <c r="G99" s="4">
        <f t="shared" si="5"/>
        <v>36520.781789885514</v>
      </c>
    </row>
    <row r="100" spans="1:7" x14ac:dyDescent="0.25">
      <c r="A100">
        <v>97</v>
      </c>
      <c r="B100" s="4">
        <f>-PPMT('Owner Occupier'!$D$41/12,'FHA Amotization'!$A100,360,'Owner Occupier'!$D$40,0,0)</f>
        <v>944.56821638839415</v>
      </c>
      <c r="C100" s="4">
        <f>-IPMT('Owner Occupier'!$D$41/12,'FHA Amotization'!$A100,360,'Owner Occupier'!$D$40,0,0)</f>
        <v>1457.4776055641273</v>
      </c>
      <c r="D100" s="4">
        <f t="shared" si="3"/>
        <v>2402.0458219525217</v>
      </c>
      <c r="E100" s="3">
        <f t="shared" si="4"/>
        <v>410578.52041348285</v>
      </c>
      <c r="F100" s="4">
        <f>('Owner Occupier'!$H$24-'Owner Occupier'!$D$52)/('Owner Occupier'!$D$56-'Owner Occupier'!$D$52)*B100</f>
        <v>449.42158045527543</v>
      </c>
      <c r="G100" s="4">
        <f t="shared" si="5"/>
        <v>36970.203370340787</v>
      </c>
    </row>
    <row r="101" spans="1:7" x14ac:dyDescent="0.25">
      <c r="A101">
        <v>98</v>
      </c>
      <c r="B101" s="4">
        <f>-PPMT('Owner Occupier'!$D$41/12,'FHA Amotization'!$A101,360,'Owner Occupier'!$D$40,0,0)</f>
        <v>947.91356215476947</v>
      </c>
      <c r="C101" s="4">
        <f>-IPMT('Owner Occupier'!$D$41/12,'FHA Amotization'!$A101,360,'Owner Occupier'!$D$40,0,0)</f>
        <v>1454.1322597977514</v>
      </c>
      <c r="D101" s="4">
        <f t="shared" si="3"/>
        <v>2402.0458219525208</v>
      </c>
      <c r="E101" s="3">
        <f t="shared" si="4"/>
        <v>409630.60685132811</v>
      </c>
      <c r="F101" s="4">
        <f>('Owner Occupier'!$H$24-'Owner Occupier'!$D$52)/('Owner Occupier'!$D$56-'Owner Occupier'!$D$52)*B101</f>
        <v>451.01328188605441</v>
      </c>
      <c r="G101" s="4">
        <f t="shared" si="5"/>
        <v>37421.216652226838</v>
      </c>
    </row>
    <row r="102" spans="1:7" x14ac:dyDescent="0.25">
      <c r="A102">
        <v>99</v>
      </c>
      <c r="B102" s="4">
        <f>-PPMT('Owner Occupier'!$D$41/12,'FHA Amotization'!$A102,360,'Owner Occupier'!$D$40,0,0)</f>
        <v>951.27075602073444</v>
      </c>
      <c r="C102" s="4">
        <f>-IPMT('Owner Occupier'!$D$41/12,'FHA Amotization'!$A102,360,'Owner Occupier'!$D$40,0,0)</f>
        <v>1450.7750659317871</v>
      </c>
      <c r="D102" s="4">
        <f t="shared" si="3"/>
        <v>2402.0458219525217</v>
      </c>
      <c r="E102" s="3">
        <f t="shared" si="4"/>
        <v>408679.33609530737</v>
      </c>
      <c r="F102" s="4">
        <f>('Owner Occupier'!$H$24-'Owner Occupier'!$D$52)/('Owner Occupier'!$D$56-'Owner Occupier'!$D$52)*B102</f>
        <v>452.61062059273428</v>
      </c>
      <c r="G102" s="4">
        <f t="shared" si="5"/>
        <v>37873.827272819573</v>
      </c>
    </row>
    <row r="103" spans="1:7" x14ac:dyDescent="0.25">
      <c r="A103">
        <v>100</v>
      </c>
      <c r="B103" s="4">
        <f>-PPMT('Owner Occupier'!$D$41/12,'FHA Amotization'!$A103,360,'Owner Occupier'!$D$40,0,0)</f>
        <v>954.63983994830789</v>
      </c>
      <c r="C103" s="4">
        <f>-IPMT('Owner Occupier'!$D$41/12,'FHA Amotization'!$A103,360,'Owner Occupier'!$D$40,0,0)</f>
        <v>1447.4059820042135</v>
      </c>
      <c r="D103" s="4">
        <f t="shared" si="3"/>
        <v>2402.0458219525212</v>
      </c>
      <c r="E103" s="3">
        <f t="shared" si="4"/>
        <v>407724.69625535904</v>
      </c>
      <c r="F103" s="4">
        <f>('Owner Occupier'!$H$24-'Owner Occupier'!$D$52)/('Owner Occupier'!$D$56-'Owner Occupier'!$D$52)*B103</f>
        <v>454.21361654066686</v>
      </c>
      <c r="G103" s="4">
        <f t="shared" si="5"/>
        <v>38328.040889360243</v>
      </c>
    </row>
    <row r="104" spans="1:7" x14ac:dyDescent="0.25">
      <c r="A104">
        <v>101</v>
      </c>
      <c r="B104" s="4">
        <f>-PPMT('Owner Occupier'!$D$41/12,'FHA Amotization'!$A104,360,'Owner Occupier'!$D$40,0,0)</f>
        <v>958.02085604812464</v>
      </c>
      <c r="C104" s="4">
        <f>-IPMT('Owner Occupier'!$D$41/12,'FHA Amotization'!$A104,360,'Owner Occupier'!$D$40,0,0)</f>
        <v>1444.0249659043966</v>
      </c>
      <c r="D104" s="4">
        <f t="shared" si="3"/>
        <v>2402.0458219525212</v>
      </c>
      <c r="E104" s="3">
        <f t="shared" si="4"/>
        <v>406766.67539931095</v>
      </c>
      <c r="F104" s="4">
        <f>('Owner Occupier'!$H$24-'Owner Occupier'!$D$52)/('Owner Occupier'!$D$56-'Owner Occupier'!$D$52)*B104</f>
        <v>455.822289765915</v>
      </c>
      <c r="G104" s="4">
        <f t="shared" si="5"/>
        <v>38783.863179126158</v>
      </c>
    </row>
    <row r="105" spans="1:7" x14ac:dyDescent="0.25">
      <c r="A105">
        <v>102</v>
      </c>
      <c r="B105" s="4">
        <f>-PPMT('Owner Occupier'!$D$41/12,'FHA Amotization'!$A105,360,'Owner Occupier'!$D$40,0,0)</f>
        <v>961.41384657996184</v>
      </c>
      <c r="C105" s="4">
        <f>-IPMT('Owner Occupier'!$D$41/12,'FHA Amotization'!$A105,360,'Owner Occupier'!$D$40,0,0)</f>
        <v>1440.6319753725597</v>
      </c>
      <c r="D105" s="4">
        <f t="shared" si="3"/>
        <v>2402.0458219525217</v>
      </c>
      <c r="E105" s="3">
        <f t="shared" si="4"/>
        <v>405805.26155273098</v>
      </c>
      <c r="F105" s="4">
        <f>('Owner Occupier'!$H$24-'Owner Occupier'!$D$52)/('Owner Occupier'!$D$56-'Owner Occupier'!$D$52)*B105</f>
        <v>457.43666037550264</v>
      </c>
      <c r="G105" s="4">
        <f t="shared" si="5"/>
        <v>39241.299839501662</v>
      </c>
    </row>
    <row r="106" spans="1:7" x14ac:dyDescent="0.25">
      <c r="A106">
        <v>103</v>
      </c>
      <c r="B106" s="4">
        <f>-PPMT('Owner Occupier'!$D$41/12,'FHA Amotization'!$A106,360,'Owner Occupier'!$D$40,0,0)</f>
        <v>964.81885395326594</v>
      </c>
      <c r="C106" s="4">
        <f>-IPMT('Owner Occupier'!$D$41/12,'FHA Amotization'!$A106,360,'Owner Occupier'!$D$40,0,0)</f>
        <v>1437.2269679992557</v>
      </c>
      <c r="D106" s="4">
        <f t="shared" si="3"/>
        <v>2402.0458219525217</v>
      </c>
      <c r="E106" s="3">
        <f t="shared" si="4"/>
        <v>404840.44269877771</v>
      </c>
      <c r="F106" s="4">
        <f>('Owner Occupier'!$H$24-'Owner Occupier'!$D$52)/('Owner Occupier'!$D$56-'Owner Occupier'!$D$52)*B106</f>
        <v>459.0567485476659</v>
      </c>
      <c r="G106" s="4">
        <f t="shared" si="5"/>
        <v>39700.356588049326</v>
      </c>
    </row>
    <row r="107" spans="1:7" x14ac:dyDescent="0.25">
      <c r="A107">
        <v>104</v>
      </c>
      <c r="B107" s="4">
        <f>-PPMT('Owner Occupier'!$D$41/12,'FHA Amotization'!$A107,360,'Owner Occupier'!$D$40,0,0)</f>
        <v>968.23592072768372</v>
      </c>
      <c r="C107" s="4">
        <f>-IPMT('Owner Occupier'!$D$41/12,'FHA Amotization'!$A107,360,'Owner Occupier'!$D$40,0,0)</f>
        <v>1433.8099012248376</v>
      </c>
      <c r="D107" s="4">
        <f t="shared" si="3"/>
        <v>2402.0458219525212</v>
      </c>
      <c r="E107" s="3">
        <f t="shared" si="4"/>
        <v>403872.20677805005</v>
      </c>
      <c r="F107" s="4">
        <f>('Owner Occupier'!$H$24-'Owner Occupier'!$D$52)/('Owner Occupier'!$D$56-'Owner Occupier'!$D$52)*B107</f>
        <v>460.68257453210555</v>
      </c>
      <c r="G107" s="4">
        <f t="shared" si="5"/>
        <v>40161.03916258143</v>
      </c>
    </row>
    <row r="108" spans="1:7" x14ac:dyDescent="0.25">
      <c r="A108">
        <v>105</v>
      </c>
      <c r="B108" s="4">
        <f>-PPMT('Owner Occupier'!$D$41/12,'FHA Amotization'!$A108,360,'Owner Occupier'!$D$40,0,0)</f>
        <v>971.6650896135942</v>
      </c>
      <c r="C108" s="4">
        <f>-IPMT('Owner Occupier'!$D$41/12,'FHA Amotization'!$A108,360,'Owner Occupier'!$D$40,0,0)</f>
        <v>1430.3807323389271</v>
      </c>
      <c r="D108" s="4">
        <f t="shared" si="3"/>
        <v>2402.0458219525212</v>
      </c>
      <c r="E108" s="3">
        <f t="shared" si="4"/>
        <v>402900.54168843647</v>
      </c>
      <c r="F108" s="4">
        <f>('Owner Occupier'!$H$24-'Owner Occupier'!$D$52)/('Owner Occupier'!$D$56-'Owner Occupier'!$D$52)*B108</f>
        <v>462.31415865024007</v>
      </c>
      <c r="G108" s="4">
        <f t="shared" si="5"/>
        <v>40623.353321231669</v>
      </c>
    </row>
    <row r="109" spans="1:7" x14ac:dyDescent="0.25">
      <c r="A109">
        <v>106</v>
      </c>
      <c r="B109" s="4">
        <f>-PPMT('Owner Occupier'!$D$41/12,'FHA Amotization'!$A109,360,'Owner Occupier'!$D$40,0,0)</f>
        <v>975.10640347264234</v>
      </c>
      <c r="C109" s="4">
        <f>-IPMT('Owner Occupier'!$D$41/12,'FHA Amotization'!$A109,360,'Owner Occupier'!$D$40,0,0)</f>
        <v>1426.9394184798791</v>
      </c>
      <c r="D109" s="4">
        <f t="shared" si="3"/>
        <v>2402.0458219525217</v>
      </c>
      <c r="E109" s="3">
        <f t="shared" si="4"/>
        <v>401925.43528496381</v>
      </c>
      <c r="F109" s="4">
        <f>('Owner Occupier'!$H$24-'Owner Occupier'!$D$52)/('Owner Occupier'!$D$56-'Owner Occupier'!$D$52)*B109</f>
        <v>463.95152129545966</v>
      </c>
      <c r="G109" s="4">
        <f t="shared" si="5"/>
        <v>41087.304842527126</v>
      </c>
    </row>
    <row r="110" spans="1:7" x14ac:dyDescent="0.25">
      <c r="A110">
        <v>107</v>
      </c>
      <c r="B110" s="4">
        <f>-PPMT('Owner Occupier'!$D$41/12,'FHA Amotization'!$A110,360,'Owner Occupier'!$D$40,0,0)</f>
        <v>978.55990531827467</v>
      </c>
      <c r="C110" s="4">
        <f>-IPMT('Owner Occupier'!$D$41/12,'FHA Amotization'!$A110,360,'Owner Occupier'!$D$40,0,0)</f>
        <v>1423.4859166342467</v>
      </c>
      <c r="D110" s="4">
        <f t="shared" si="3"/>
        <v>2402.0458219525212</v>
      </c>
      <c r="E110" s="3">
        <f t="shared" si="4"/>
        <v>400946.87537964556</v>
      </c>
      <c r="F110" s="4">
        <f>('Owner Occupier'!$H$24-'Owner Occupier'!$D$52)/('Owner Occupier'!$D$56-'Owner Occupier'!$D$52)*B110</f>
        <v>465.59468293338108</v>
      </c>
      <c r="G110" s="4">
        <f t="shared" si="5"/>
        <v>41552.899525460511</v>
      </c>
    </row>
    <row r="111" spans="1:7" x14ac:dyDescent="0.25">
      <c r="A111">
        <v>108</v>
      </c>
      <c r="B111" s="4">
        <f>-PPMT('Owner Occupier'!$D$41/12,'FHA Amotization'!$A111,360,'Owner Occupier'!$D$40,0,0)</f>
        <v>982.02563831627685</v>
      </c>
      <c r="C111" s="4">
        <f>-IPMT('Owner Occupier'!$D$41/12,'FHA Amotization'!$A111,360,'Owner Occupier'!$D$40,0,0)</f>
        <v>1420.0201836362446</v>
      </c>
      <c r="D111" s="4">
        <f t="shared" si="3"/>
        <v>2402.0458219525217</v>
      </c>
      <c r="E111" s="3">
        <f t="shared" si="4"/>
        <v>399964.84974132926</v>
      </c>
      <c r="F111" s="4">
        <f>('Owner Occupier'!$H$24-'Owner Occupier'!$D$52)/('Owner Occupier'!$D$56-'Owner Occupier'!$D$52)*B111</f>
        <v>467.24366410210348</v>
      </c>
      <c r="G111" s="4">
        <f t="shared" si="5"/>
        <v>42020.143189562616</v>
      </c>
    </row>
    <row r="112" spans="1:7" x14ac:dyDescent="0.25">
      <c r="A112">
        <v>109</v>
      </c>
      <c r="B112" s="4">
        <f>-PPMT('Owner Occupier'!$D$41/12,'FHA Amotization'!$A112,360,'Owner Occupier'!$D$40,0,0)</f>
        <v>985.50364578531389</v>
      </c>
      <c r="C112" s="4">
        <f>-IPMT('Owner Occupier'!$D$41/12,'FHA Amotization'!$A112,360,'Owner Occupier'!$D$40,0,0)</f>
        <v>1416.5421761672076</v>
      </c>
      <c r="D112" s="4">
        <f t="shared" si="3"/>
        <v>2402.0458219525217</v>
      </c>
      <c r="E112" s="3">
        <f t="shared" si="4"/>
        <v>398979.34609554394</v>
      </c>
      <c r="F112" s="4">
        <f>('Owner Occupier'!$H$24-'Owner Occupier'!$D$52)/('Owner Occupier'!$D$56-'Owner Occupier'!$D$52)*B112</f>
        <v>468.89848541246522</v>
      </c>
      <c r="G112" s="4">
        <f t="shared" si="5"/>
        <v>42489.04167497508</v>
      </c>
    </row>
    <row r="113" spans="1:7" x14ac:dyDescent="0.25">
      <c r="A113">
        <v>110</v>
      </c>
      <c r="B113" s="4">
        <f>-PPMT('Owner Occupier'!$D$41/12,'FHA Amotization'!$A113,360,'Owner Occupier'!$D$40,0,0)</f>
        <v>988.99397119747005</v>
      </c>
      <c r="C113" s="4">
        <f>-IPMT('Owner Occupier'!$D$41/12,'FHA Amotization'!$A113,360,'Owner Occupier'!$D$40,0,0)</f>
        <v>1413.0518507550514</v>
      </c>
      <c r="D113" s="4">
        <f t="shared" si="3"/>
        <v>2402.0458219525217</v>
      </c>
      <c r="E113" s="3">
        <f t="shared" si="4"/>
        <v>397990.35212434648</v>
      </c>
      <c r="F113" s="4">
        <f>('Owner Occupier'!$H$24-'Owner Occupier'!$D$52)/('Owner Occupier'!$D$56-'Owner Occupier'!$D$52)*B113</f>
        <v>470.55916754830093</v>
      </c>
      <c r="G113" s="4">
        <f t="shared" si="5"/>
        <v>42959.600842523381</v>
      </c>
    </row>
    <row r="114" spans="1:7" x14ac:dyDescent="0.25">
      <c r="A114">
        <v>111</v>
      </c>
      <c r="B114" s="4">
        <f>-PPMT('Owner Occupier'!$D$41/12,'FHA Amotization'!$A114,360,'Owner Occupier'!$D$40,0,0)</f>
        <v>992.49665817879441</v>
      </c>
      <c r="C114" s="4">
        <f>-IPMT('Owner Occupier'!$D$41/12,'FHA Amotization'!$A114,360,'Owner Occupier'!$D$40,0,0)</f>
        <v>1409.5491637737273</v>
      </c>
      <c r="D114" s="4">
        <f t="shared" si="3"/>
        <v>2402.0458219525217</v>
      </c>
      <c r="E114" s="3">
        <f t="shared" si="4"/>
        <v>396997.85546616768</v>
      </c>
      <c r="F114" s="4">
        <f>('Owner Occupier'!$H$24-'Owner Occupier'!$D$52)/('Owner Occupier'!$D$56-'Owner Occupier'!$D$52)*B114</f>
        <v>472.22573126670113</v>
      </c>
      <c r="G114" s="4">
        <f t="shared" si="5"/>
        <v>43431.82657379008</v>
      </c>
    </row>
    <row r="115" spans="1:7" x14ac:dyDescent="0.25">
      <c r="A115">
        <v>112</v>
      </c>
      <c r="B115" s="4">
        <f>-PPMT('Owner Occupier'!$D$41/12,'FHA Amotization'!$A115,360,'Owner Occupier'!$D$40,0,0)</f>
        <v>996.01175050984432</v>
      </c>
      <c r="C115" s="4">
        <f>-IPMT('Owner Occupier'!$D$41/12,'FHA Amotization'!$A115,360,'Owner Occupier'!$D$40,0,0)</f>
        <v>1406.0340714426768</v>
      </c>
      <c r="D115" s="4">
        <f t="shared" si="3"/>
        <v>2402.0458219525212</v>
      </c>
      <c r="E115" s="3">
        <f t="shared" si="4"/>
        <v>396001.84371565783</v>
      </c>
      <c r="F115" s="4">
        <f>('Owner Occupier'!$H$24-'Owner Occupier'!$D$52)/('Owner Occupier'!$D$56-'Owner Occupier'!$D$52)*B115</f>
        <v>473.89819739827072</v>
      </c>
      <c r="G115" s="4">
        <f t="shared" si="5"/>
        <v>43905.724771188354</v>
      </c>
    </row>
    <row r="116" spans="1:7" x14ac:dyDescent="0.25">
      <c r="A116">
        <v>113</v>
      </c>
      <c r="B116" s="4">
        <f>-PPMT('Owner Occupier'!$D$41/12,'FHA Amotization'!$A116,360,'Owner Occupier'!$D$40,0,0)</f>
        <v>999.53929212623336</v>
      </c>
      <c r="C116" s="4">
        <f>-IPMT('Owner Occupier'!$D$41/12,'FHA Amotization'!$A116,360,'Owner Occupier'!$D$40,0,0)</f>
        <v>1402.5065298262875</v>
      </c>
      <c r="D116" s="4">
        <f t="shared" si="3"/>
        <v>2402.0458219525208</v>
      </c>
      <c r="E116" s="3">
        <f t="shared" si="4"/>
        <v>395002.30442353158</v>
      </c>
      <c r="F116" s="4">
        <f>('Owner Occupier'!$H$24-'Owner Occupier'!$D$52)/('Owner Occupier'!$D$56-'Owner Occupier'!$D$52)*B116</f>
        <v>475.57658684738959</v>
      </c>
      <c r="G116" s="4">
        <f t="shared" si="5"/>
        <v>44381.301358035744</v>
      </c>
    </row>
    <row r="117" spans="1:7" x14ac:dyDescent="0.25">
      <c r="A117">
        <v>114</v>
      </c>
      <c r="B117" s="4">
        <f>-PPMT('Owner Occupier'!$D$41/12,'FHA Amotization'!$A117,360,'Owner Occupier'!$D$40,0,0)</f>
        <v>1003.0793271191804</v>
      </c>
      <c r="C117" s="4">
        <f>-IPMT('Owner Occupier'!$D$41/12,'FHA Amotization'!$A117,360,'Owner Occupier'!$D$40,0,0)</f>
        <v>1398.9664948333409</v>
      </c>
      <c r="D117" s="4">
        <f t="shared" si="3"/>
        <v>2402.0458219525212</v>
      </c>
      <c r="E117" s="3">
        <f t="shared" si="4"/>
        <v>393999.22509641241</v>
      </c>
      <c r="F117" s="4">
        <f>('Owner Occupier'!$H$24-'Owner Occupier'!$D$52)/('Owner Occupier'!$D$56-'Owner Occupier'!$D$52)*B117</f>
        <v>477.26092059247412</v>
      </c>
      <c r="G117" s="4">
        <f t="shared" si="5"/>
        <v>44858.562278628218</v>
      </c>
    </row>
    <row r="118" spans="1:7" x14ac:dyDescent="0.25">
      <c r="A118">
        <v>115</v>
      </c>
      <c r="B118" s="4">
        <f>-PPMT('Owner Occupier'!$D$41/12,'FHA Amotization'!$A118,360,'Owner Occupier'!$D$40,0,0)</f>
        <v>1006.6318997360609</v>
      </c>
      <c r="C118" s="4">
        <f>-IPMT('Owner Occupier'!$D$41/12,'FHA Amotization'!$A118,360,'Owner Occupier'!$D$40,0,0)</f>
        <v>1395.4139222164608</v>
      </c>
      <c r="D118" s="4">
        <f t="shared" si="3"/>
        <v>2402.0458219525217</v>
      </c>
      <c r="E118" s="3">
        <f t="shared" si="4"/>
        <v>392992.59319667635</v>
      </c>
      <c r="F118" s="4">
        <f>('Owner Occupier'!$H$24-'Owner Occupier'!$D$52)/('Owner Occupier'!$D$56-'Owner Occupier'!$D$52)*B118</f>
        <v>478.95121968623914</v>
      </c>
      <c r="G118" s="4">
        <f t="shared" si="5"/>
        <v>45337.51349831446</v>
      </c>
    </row>
    <row r="119" spans="1:7" x14ac:dyDescent="0.25">
      <c r="A119">
        <v>116</v>
      </c>
      <c r="B119" s="4">
        <f>-PPMT('Owner Occupier'!$D$41/12,'FHA Amotization'!$A119,360,'Owner Occupier'!$D$40,0,0)</f>
        <v>1010.1970543809595</v>
      </c>
      <c r="C119" s="4">
        <f>-IPMT('Owner Occupier'!$D$41/12,'FHA Amotization'!$A119,360,'Owner Occupier'!$D$40,0,0)</f>
        <v>1391.8487675715619</v>
      </c>
      <c r="D119" s="4">
        <f t="shared" si="3"/>
        <v>2402.0458219525212</v>
      </c>
      <c r="E119" s="3">
        <f t="shared" si="4"/>
        <v>391982.39614229539</v>
      </c>
      <c r="F119" s="4">
        <f>('Owner Occupier'!$H$24-'Owner Occupier'!$D$52)/('Owner Occupier'!$D$56-'Owner Occupier'!$D$52)*B119</f>
        <v>480.64750525596122</v>
      </c>
      <c r="G119" s="4">
        <f t="shared" si="5"/>
        <v>45818.161003570422</v>
      </c>
    </row>
    <row r="120" spans="1:7" x14ac:dyDescent="0.25">
      <c r="A120">
        <v>117</v>
      </c>
      <c r="B120" s="4">
        <f>-PPMT('Owner Occupier'!$D$41/12,'FHA Amotization'!$A120,360,'Owner Occupier'!$D$40,0,0)</f>
        <v>1013.7748356152254</v>
      </c>
      <c r="C120" s="4">
        <f>-IPMT('Owner Occupier'!$D$41/12,'FHA Amotization'!$A120,360,'Owner Occupier'!$D$40,0,0)</f>
        <v>1388.2709863372963</v>
      </c>
      <c r="D120" s="4">
        <f t="shared" si="3"/>
        <v>2402.0458219525217</v>
      </c>
      <c r="E120" s="3">
        <f t="shared" si="4"/>
        <v>390968.62130668014</v>
      </c>
      <c r="F120" s="4">
        <f>('Owner Occupier'!$H$24-'Owner Occupier'!$D$52)/('Owner Occupier'!$D$56-'Owner Occupier'!$D$52)*B120</f>
        <v>482.34979850374276</v>
      </c>
      <c r="G120" s="4">
        <f t="shared" si="5"/>
        <v>46300.510802074161</v>
      </c>
    </row>
    <row r="121" spans="1:7" x14ac:dyDescent="0.25">
      <c r="A121">
        <v>118</v>
      </c>
      <c r="B121" s="4">
        <f>-PPMT('Owner Occupier'!$D$41/12,'FHA Amotization'!$A121,360,'Owner Occupier'!$D$40,0,0)</f>
        <v>1017.3652881580293</v>
      </c>
      <c r="C121" s="4">
        <f>-IPMT('Owner Occupier'!$D$41/12,'FHA Amotization'!$A121,360,'Owner Occupier'!$D$40,0,0)</f>
        <v>1384.6805337944925</v>
      </c>
      <c r="D121" s="4">
        <f t="shared" si="3"/>
        <v>2402.0458219525217</v>
      </c>
      <c r="E121" s="3">
        <f t="shared" si="4"/>
        <v>389951.25601852214</v>
      </c>
      <c r="F121" s="4">
        <f>('Owner Occupier'!$H$24-'Owner Occupier'!$D$52)/('Owner Occupier'!$D$56-'Owner Occupier'!$D$52)*B121</f>
        <v>484.05812070677689</v>
      </c>
      <c r="G121" s="4">
        <f t="shared" si="5"/>
        <v>46784.568922780934</v>
      </c>
    </row>
    <row r="122" spans="1:7" x14ac:dyDescent="0.25">
      <c r="A122">
        <v>119</v>
      </c>
      <c r="B122" s="4">
        <f>-PPMT('Owner Occupier'!$D$41/12,'FHA Amotization'!$A122,360,'Owner Occupier'!$D$40,0,0)</f>
        <v>1020.9684568869222</v>
      </c>
      <c r="C122" s="4">
        <f>-IPMT('Owner Occupier'!$D$41/12,'FHA Amotization'!$A122,360,'Owner Occupier'!$D$40,0,0)</f>
        <v>1381.0773650655992</v>
      </c>
      <c r="D122" s="4">
        <f t="shared" si="3"/>
        <v>2402.0458219525217</v>
      </c>
      <c r="E122" s="3">
        <f t="shared" si="4"/>
        <v>388930.2875616352</v>
      </c>
      <c r="F122" s="4">
        <f>('Owner Occupier'!$H$24-'Owner Occupier'!$D$52)/('Owner Occupier'!$D$56-'Owner Occupier'!$D$52)*B122</f>
        <v>485.77249321761332</v>
      </c>
      <c r="G122" s="4">
        <f t="shared" si="5"/>
        <v>47270.341415998548</v>
      </c>
    </row>
    <row r="123" spans="1:7" x14ac:dyDescent="0.25">
      <c r="A123">
        <v>120</v>
      </c>
      <c r="B123" s="4">
        <f>-PPMT('Owner Occupier'!$D$41/12,'FHA Amotization'!$A123,360,'Owner Occupier'!$D$40,0,0)</f>
        <v>1024.5843868383965</v>
      </c>
      <c r="C123" s="4">
        <f>-IPMT('Owner Occupier'!$D$41/12,'FHA Amotization'!$A123,360,'Owner Occupier'!$D$40,0,0)</f>
        <v>1377.4614351141242</v>
      </c>
      <c r="D123" s="4">
        <f t="shared" si="3"/>
        <v>2402.0458219525208</v>
      </c>
      <c r="E123" s="3">
        <f t="shared" si="4"/>
        <v>387905.70317479677</v>
      </c>
      <c r="F123" s="4">
        <f>('Owner Occupier'!$H$24-'Owner Occupier'!$D$52)/('Owner Occupier'!$D$56-'Owner Occupier'!$D$52)*B123</f>
        <v>487.49293746442561</v>
      </c>
      <c r="G123" s="4">
        <f t="shared" si="5"/>
        <v>47757.834353462975</v>
      </c>
    </row>
    <row r="124" spans="1:7" x14ac:dyDescent="0.25">
      <c r="A124">
        <v>121</v>
      </c>
      <c r="B124" s="4">
        <f>-PPMT('Owner Occupier'!$D$41/12,'FHA Amotization'!$A124,360,'Owner Occupier'!$D$40,0,0)</f>
        <v>1028.2131232084494</v>
      </c>
      <c r="C124" s="4">
        <f>-IPMT('Owner Occupier'!$D$41/12,'FHA Amotization'!$A124,360,'Owner Occupier'!$D$40,0,0)</f>
        <v>1373.8326987440721</v>
      </c>
      <c r="D124" s="4">
        <f t="shared" si="3"/>
        <v>2402.0458219525217</v>
      </c>
      <c r="E124" s="3">
        <f t="shared" si="4"/>
        <v>386877.49005158833</v>
      </c>
      <c r="F124" s="4">
        <f>('Owner Occupier'!$H$24-'Owner Occupier'!$D$52)/('Owner Occupier'!$D$56-'Owner Occupier'!$D$52)*B124</f>
        <v>489.21947495127887</v>
      </c>
      <c r="G124" s="4">
        <f t="shared" si="5"/>
        <v>48247.053828414253</v>
      </c>
    </row>
    <row r="125" spans="1:7" x14ac:dyDescent="0.25">
      <c r="A125">
        <v>122</v>
      </c>
      <c r="B125" s="4">
        <f>-PPMT('Owner Occupier'!$D$41/12,'FHA Amotization'!$A125,360,'Owner Occupier'!$D$40,0,0)</f>
        <v>1031.8547113531458</v>
      </c>
      <c r="C125" s="4">
        <f>-IPMT('Owner Occupier'!$D$41/12,'FHA Amotization'!$A125,360,'Owner Occupier'!$D$40,0,0)</f>
        <v>1370.1911105993754</v>
      </c>
      <c r="D125" s="4">
        <f t="shared" si="3"/>
        <v>2402.0458219525212</v>
      </c>
      <c r="E125" s="3">
        <f t="shared" si="4"/>
        <v>385845.6353402352</v>
      </c>
      <c r="F125" s="4">
        <f>('Owner Occupier'!$H$24-'Owner Occupier'!$D$52)/('Owner Occupier'!$D$56-'Owner Occupier'!$D$52)*B125</f>
        <v>490.95212725839792</v>
      </c>
      <c r="G125" s="4">
        <f t="shared" si="5"/>
        <v>48738.005955672648</v>
      </c>
    </row>
    <row r="126" spans="1:7" x14ac:dyDescent="0.25">
      <c r="A126">
        <v>123</v>
      </c>
      <c r="B126" s="4">
        <f>-PPMT('Owner Occupier'!$D$41/12,'FHA Amotization'!$A126,360,'Owner Occupier'!$D$40,0,0)</f>
        <v>1035.5091967891885</v>
      </c>
      <c r="C126" s="4">
        <f>-IPMT('Owner Occupier'!$D$41/12,'FHA Amotization'!$A126,360,'Owner Occupier'!$D$40,0,0)</f>
        <v>1366.5366251633329</v>
      </c>
      <c r="D126" s="4">
        <f t="shared" si="3"/>
        <v>2402.0458219525217</v>
      </c>
      <c r="E126" s="3">
        <f t="shared" si="4"/>
        <v>384810.12614344602</v>
      </c>
      <c r="F126" s="4">
        <f>('Owner Occupier'!$H$24-'Owner Occupier'!$D$52)/('Owner Occupier'!$D$56-'Owner Occupier'!$D$52)*B126</f>
        <v>492.69091604243823</v>
      </c>
      <c r="G126" s="4">
        <f t="shared" si="5"/>
        <v>49230.696871715088</v>
      </c>
    </row>
    <row r="127" spans="1:7" x14ac:dyDescent="0.25">
      <c r="A127">
        <v>124</v>
      </c>
      <c r="B127" s="4">
        <f>-PPMT('Owner Occupier'!$D$41/12,'FHA Amotization'!$A127,360,'Owner Occupier'!$D$40,0,0)</f>
        <v>1039.1766251944834</v>
      </c>
      <c r="C127" s="4">
        <f>-IPMT('Owner Occupier'!$D$41/12,'FHA Amotization'!$A127,360,'Owner Occupier'!$D$40,0,0)</f>
        <v>1362.8691967580378</v>
      </c>
      <c r="D127" s="4">
        <f t="shared" si="3"/>
        <v>2402.0458219525212</v>
      </c>
      <c r="E127" s="3">
        <f t="shared" si="4"/>
        <v>383770.94951825152</v>
      </c>
      <c r="F127" s="4">
        <f>('Owner Occupier'!$H$24-'Owner Occupier'!$D$52)/('Owner Occupier'!$D$56-'Owner Occupier'!$D$52)*B127</f>
        <v>494.43586303675511</v>
      </c>
      <c r="G127" s="4">
        <f t="shared" si="5"/>
        <v>49725.132734751845</v>
      </c>
    </row>
    <row r="128" spans="1:7" x14ac:dyDescent="0.25">
      <c r="A128">
        <v>125</v>
      </c>
      <c r="B128" s="4">
        <f>-PPMT('Owner Occupier'!$D$41/12,'FHA Amotization'!$A128,360,'Owner Occupier'!$D$40,0,0)</f>
        <v>1042.8570424087141</v>
      </c>
      <c r="C128" s="4">
        <f>-IPMT('Owner Occupier'!$D$41/12,'FHA Amotization'!$A128,360,'Owner Occupier'!$D$40,0,0)</f>
        <v>1359.1887795438074</v>
      </c>
      <c r="D128" s="4">
        <f t="shared" si="3"/>
        <v>2402.0458219525217</v>
      </c>
      <c r="E128" s="3">
        <f t="shared" si="4"/>
        <v>382728.0924758428</v>
      </c>
      <c r="F128" s="4">
        <f>('Owner Occupier'!$H$24-'Owner Occupier'!$D$52)/('Owner Occupier'!$D$56-'Owner Occupier'!$D$52)*B128</f>
        <v>496.18699005167701</v>
      </c>
      <c r="G128" s="4">
        <f t="shared" si="5"/>
        <v>50221.319724803521</v>
      </c>
    </row>
    <row r="129" spans="1:7" x14ac:dyDescent="0.25">
      <c r="A129">
        <v>126</v>
      </c>
      <c r="B129" s="4">
        <f>-PPMT('Owner Occupier'!$D$41/12,'FHA Amotization'!$A129,360,'Owner Occupier'!$D$40,0,0)</f>
        <v>1046.5504944339114</v>
      </c>
      <c r="C129" s="4">
        <f>-IPMT('Owner Occupier'!$D$41/12,'FHA Amotization'!$A129,360,'Owner Occupier'!$D$40,0,0)</f>
        <v>1355.4953275186099</v>
      </c>
      <c r="D129" s="4">
        <f t="shared" si="3"/>
        <v>2402.0458219525212</v>
      </c>
      <c r="E129" s="3">
        <f t="shared" si="4"/>
        <v>381681.5419814089</v>
      </c>
      <c r="F129" s="4">
        <f>('Owner Occupier'!$H$24-'Owner Occupier'!$D$52)/('Owner Occupier'!$D$56-'Owner Occupier'!$D$52)*B129</f>
        <v>497.94431897477665</v>
      </c>
      <c r="G129" s="4">
        <f t="shared" si="5"/>
        <v>50719.264043778297</v>
      </c>
    </row>
    <row r="130" spans="1:7" x14ac:dyDescent="0.25">
      <c r="A130">
        <v>127</v>
      </c>
      <c r="B130" s="4">
        <f>-PPMT('Owner Occupier'!$D$41/12,'FHA Amotization'!$A130,360,'Owner Occupier'!$D$40,0,0)</f>
        <v>1050.2570274350317</v>
      </c>
      <c r="C130" s="4">
        <f>-IPMT('Owner Occupier'!$D$41/12,'FHA Amotization'!$A130,360,'Owner Occupier'!$D$40,0,0)</f>
        <v>1351.7887945174898</v>
      </c>
      <c r="D130" s="4">
        <f t="shared" si="3"/>
        <v>2402.0458219525217</v>
      </c>
      <c r="E130" s="3">
        <f t="shared" si="4"/>
        <v>380631.28495397384</v>
      </c>
      <c r="F130" s="4">
        <f>('Owner Occupier'!$H$24-'Owner Occupier'!$D$52)/('Owner Occupier'!$D$56-'Owner Occupier'!$D$52)*B130</f>
        <v>499.70787177114573</v>
      </c>
      <c r="G130" s="4">
        <f t="shared" si="5"/>
        <v>51218.971915549446</v>
      </c>
    </row>
    <row r="131" spans="1:7" x14ac:dyDescent="0.25">
      <c r="A131">
        <v>128</v>
      </c>
      <c r="B131" s="4">
        <f>-PPMT('Owner Occupier'!$D$41/12,'FHA Amotization'!$A131,360,'Owner Occupier'!$D$40,0,0)</f>
        <v>1053.9766877405307</v>
      </c>
      <c r="C131" s="4">
        <f>-IPMT('Owner Occupier'!$D$41/12,'FHA Amotization'!$A131,360,'Owner Occupier'!$D$40,0,0)</f>
        <v>1348.0691342119912</v>
      </c>
      <c r="D131" s="4">
        <f t="shared" si="3"/>
        <v>2402.0458219525217</v>
      </c>
      <c r="E131" s="3">
        <f t="shared" si="4"/>
        <v>379577.3082662333</v>
      </c>
      <c r="F131" s="4">
        <f>('Owner Occupier'!$H$24-'Owner Occupier'!$D$52)/('Owner Occupier'!$D$56-'Owner Occupier'!$D$52)*B131</f>
        <v>501.47767048366848</v>
      </c>
      <c r="G131" s="4">
        <f t="shared" si="5"/>
        <v>51720.449586033115</v>
      </c>
    </row>
    <row r="132" spans="1:7" x14ac:dyDescent="0.25">
      <c r="A132">
        <v>129</v>
      </c>
      <c r="B132" s="4">
        <f>-PPMT('Owner Occupier'!$D$41/12,'FHA Amotization'!$A132,360,'Owner Occupier'!$D$40,0,0)</f>
        <v>1057.7095218429449</v>
      </c>
      <c r="C132" s="4">
        <f>-IPMT('Owner Occupier'!$D$41/12,'FHA Amotization'!$A132,360,'Owner Occupier'!$D$40,0,0)</f>
        <v>1344.3363001095761</v>
      </c>
      <c r="D132" s="4">
        <f t="shared" si="3"/>
        <v>2402.0458219525208</v>
      </c>
      <c r="E132" s="3">
        <f t="shared" si="4"/>
        <v>378519.59874439036</v>
      </c>
      <c r="F132" s="4">
        <f>('Owner Occupier'!$H$24-'Owner Occupier'!$D$52)/('Owner Occupier'!$D$56-'Owner Occupier'!$D$52)*B132</f>
        <v>503.25373723329812</v>
      </c>
      <c r="G132" s="4">
        <f t="shared" si="5"/>
        <v>52223.703323266411</v>
      </c>
    </row>
    <row r="133" spans="1:7" x14ac:dyDescent="0.25">
      <c r="A133">
        <v>130</v>
      </c>
      <c r="B133" s="4">
        <f>-PPMT('Owner Occupier'!$D$41/12,'FHA Amotization'!$A133,360,'Owner Occupier'!$D$40,0,0)</f>
        <v>1061.4555763994722</v>
      </c>
      <c r="C133" s="4">
        <f>-IPMT('Owner Occupier'!$D$41/12,'FHA Amotization'!$A133,360,'Owner Occupier'!$D$40,0,0)</f>
        <v>1340.5902455530493</v>
      </c>
      <c r="D133" s="4">
        <f t="shared" ref="D133:D196" si="6">B133+C133</f>
        <v>2402.0458219525217</v>
      </c>
      <c r="E133" s="3">
        <f t="shared" si="4"/>
        <v>377458.1431679909</v>
      </c>
      <c r="F133" s="4">
        <f>('Owner Occupier'!$H$24-'Owner Occupier'!$D$52)/('Owner Occupier'!$D$56-'Owner Occupier'!$D$52)*B133</f>
        <v>505.03609421933277</v>
      </c>
      <c r="G133" s="4">
        <f t="shared" si="5"/>
        <v>52728.73941748574</v>
      </c>
    </row>
    <row r="134" spans="1:7" x14ac:dyDescent="0.25">
      <c r="A134">
        <v>131</v>
      </c>
      <c r="B134" s="4">
        <f>-PPMT('Owner Occupier'!$D$41/12,'FHA Amotization'!$A134,360,'Owner Occupier'!$D$40,0,0)</f>
        <v>1065.2148982325534</v>
      </c>
      <c r="C134" s="4">
        <f>-IPMT('Owner Occupier'!$D$41/12,'FHA Amotization'!$A134,360,'Owner Occupier'!$D$40,0,0)</f>
        <v>1336.830923719968</v>
      </c>
      <c r="D134" s="4">
        <f t="shared" si="6"/>
        <v>2402.0458219525217</v>
      </c>
      <c r="E134" s="3">
        <f t="shared" ref="E134:E197" si="7">E133-B134</f>
        <v>376392.92826975835</v>
      </c>
      <c r="F134" s="4">
        <f>('Owner Occupier'!$H$24-'Owner Occupier'!$D$52)/('Owner Occupier'!$D$56-'Owner Occupier'!$D$52)*B134</f>
        <v>506.82476371969278</v>
      </c>
      <c r="G134" s="4">
        <f t="shared" ref="G134:G197" si="8">F134+G133</f>
        <v>53235.564181205431</v>
      </c>
    </row>
    <row r="135" spans="1:7" x14ac:dyDescent="0.25">
      <c r="A135">
        <v>132</v>
      </c>
      <c r="B135" s="4">
        <f>-PPMT('Owner Occupier'!$D$41/12,'FHA Amotization'!$A135,360,'Owner Occupier'!$D$40,0,0)</f>
        <v>1068.9875343304604</v>
      </c>
      <c r="C135" s="4">
        <f>-IPMT('Owner Occupier'!$D$41/12,'FHA Amotization'!$A135,360,'Owner Occupier'!$D$40,0,0)</f>
        <v>1333.0582876220608</v>
      </c>
      <c r="D135" s="4">
        <f t="shared" si="6"/>
        <v>2402.0458219525212</v>
      </c>
      <c r="E135" s="3">
        <f t="shared" si="7"/>
        <v>375323.9407354279</v>
      </c>
      <c r="F135" s="4">
        <f>('Owner Occupier'!$H$24-'Owner Occupier'!$D$52)/('Owner Occupier'!$D$56-'Owner Occupier'!$D$52)*B135</f>
        <v>508.61976809120006</v>
      </c>
      <c r="G135" s="4">
        <f t="shared" si="8"/>
        <v>53744.183949296632</v>
      </c>
    </row>
    <row r="136" spans="1:7" x14ac:dyDescent="0.25">
      <c r="A136">
        <v>133</v>
      </c>
      <c r="B136" s="4">
        <f>-PPMT('Owner Occupier'!$D$41/12,'FHA Amotization'!$A136,360,'Owner Occupier'!$D$40,0,0)</f>
        <v>1072.7735318478808</v>
      </c>
      <c r="C136" s="4">
        <f>-IPMT('Owner Occupier'!$D$41/12,'FHA Amotization'!$A136,360,'Owner Occupier'!$D$40,0,0)</f>
        <v>1329.2722901046407</v>
      </c>
      <c r="D136" s="4">
        <f t="shared" si="6"/>
        <v>2402.0458219525217</v>
      </c>
      <c r="E136" s="3">
        <f t="shared" si="7"/>
        <v>374251.16720358003</v>
      </c>
      <c r="F136" s="4">
        <f>('Owner Occupier'!$H$24-'Owner Occupier'!$D$52)/('Owner Occupier'!$D$56-'Owner Occupier'!$D$52)*B136</f>
        <v>510.42112976985641</v>
      </c>
      <c r="G136" s="4">
        <f t="shared" si="8"/>
        <v>54254.605079066489</v>
      </c>
    </row>
    <row r="137" spans="1:7" x14ac:dyDescent="0.25">
      <c r="A137">
        <v>134</v>
      </c>
      <c r="B137" s="4">
        <f>-PPMT('Owner Occupier'!$D$41/12,'FHA Amotization'!$A137,360,'Owner Occupier'!$D$40,0,0)</f>
        <v>1076.5729381065089</v>
      </c>
      <c r="C137" s="4">
        <f>-IPMT('Owner Occupier'!$D$41/12,'FHA Amotization'!$A137,360,'Owner Occupier'!$D$40,0,0)</f>
        <v>1325.4728838460126</v>
      </c>
      <c r="D137" s="4">
        <f t="shared" si="6"/>
        <v>2402.0458219525217</v>
      </c>
      <c r="E137" s="3">
        <f t="shared" si="7"/>
        <v>373174.59426547354</v>
      </c>
      <c r="F137" s="4">
        <f>('Owner Occupier'!$H$24-'Owner Occupier'!$D$52)/('Owner Occupier'!$D$56-'Owner Occupier'!$D$52)*B137</f>
        <v>512.22887127112472</v>
      </c>
      <c r="G137" s="4">
        <f t="shared" si="8"/>
        <v>54766.833950337612</v>
      </c>
    </row>
    <row r="138" spans="1:7" x14ac:dyDescent="0.25">
      <c r="A138">
        <v>135</v>
      </c>
      <c r="B138" s="4">
        <f>-PPMT('Owner Occupier'!$D$41/12,'FHA Amotization'!$A138,360,'Owner Occupier'!$D$40,0,0)</f>
        <v>1080.3858005956361</v>
      </c>
      <c r="C138" s="4">
        <f>-IPMT('Owner Occupier'!$D$41/12,'FHA Amotization'!$A138,360,'Owner Occupier'!$D$40,0,0)</f>
        <v>1321.6600213568854</v>
      </c>
      <c r="D138" s="4">
        <f t="shared" si="6"/>
        <v>2402.0458219525217</v>
      </c>
      <c r="E138" s="3">
        <f t="shared" si="7"/>
        <v>372094.20846487791</v>
      </c>
      <c r="F138" s="4">
        <f>('Owner Occupier'!$H$24-'Owner Occupier'!$D$52)/('Owner Occupier'!$D$56-'Owner Occupier'!$D$52)*B138</f>
        <v>514.04301519020999</v>
      </c>
      <c r="G138" s="4">
        <f t="shared" si="8"/>
        <v>55280.876965527823</v>
      </c>
    </row>
    <row r="139" spans="1:7" x14ac:dyDescent="0.25">
      <c r="A139">
        <v>136</v>
      </c>
      <c r="B139" s="4">
        <f>-PPMT('Owner Occupier'!$D$41/12,'FHA Amotization'!$A139,360,'Owner Occupier'!$D$40,0,0)</f>
        <v>1084.2121669727455</v>
      </c>
      <c r="C139" s="4">
        <f>-IPMT('Owner Occupier'!$D$41/12,'FHA Amotization'!$A139,360,'Owner Occupier'!$D$40,0,0)</f>
        <v>1317.8336549797759</v>
      </c>
      <c r="D139" s="4">
        <f t="shared" si="6"/>
        <v>2402.0458219525217</v>
      </c>
      <c r="E139" s="3">
        <f t="shared" si="7"/>
        <v>371009.99629790516</v>
      </c>
      <c r="F139" s="4">
        <f>('Owner Occupier'!$H$24-'Owner Occupier'!$D$52)/('Owner Occupier'!$D$56-'Owner Occupier'!$D$52)*B139</f>
        <v>515.86358420234194</v>
      </c>
      <c r="G139" s="4">
        <f t="shared" si="8"/>
        <v>55796.740549730166</v>
      </c>
    </row>
    <row r="140" spans="1:7" x14ac:dyDescent="0.25">
      <c r="A140">
        <v>137</v>
      </c>
      <c r="B140" s="4">
        <f>-PPMT('Owner Occupier'!$D$41/12,'FHA Amotization'!$A140,360,'Owner Occupier'!$D$40,0,0)</f>
        <v>1088.0520850641074</v>
      </c>
      <c r="C140" s="4">
        <f>-IPMT('Owner Occupier'!$D$41/12,'FHA Amotization'!$A140,360,'Owner Occupier'!$D$40,0,0)</f>
        <v>1313.9937368884141</v>
      </c>
      <c r="D140" s="4">
        <f t="shared" si="6"/>
        <v>2402.0458219525217</v>
      </c>
      <c r="E140" s="3">
        <f t="shared" si="7"/>
        <v>369921.94421284104</v>
      </c>
      <c r="F140" s="4">
        <f>('Owner Occupier'!$H$24-'Owner Occupier'!$D$52)/('Owner Occupier'!$D$56-'Owner Occupier'!$D$52)*B140</f>
        <v>517.69060106305858</v>
      </c>
      <c r="G140" s="4">
        <f t="shared" si="8"/>
        <v>56314.431150793222</v>
      </c>
    </row>
    <row r="141" spans="1:7" x14ac:dyDescent="0.25">
      <c r="A141">
        <v>138</v>
      </c>
      <c r="B141" s="4">
        <f>-PPMT('Owner Occupier'!$D$41/12,'FHA Amotization'!$A141,360,'Owner Occupier'!$D$40,0,0)</f>
        <v>1091.9056028653761</v>
      </c>
      <c r="C141" s="4">
        <f>-IPMT('Owner Occupier'!$D$41/12,'FHA Amotization'!$A141,360,'Owner Occupier'!$D$40,0,0)</f>
        <v>1310.1402190871452</v>
      </c>
      <c r="D141" s="4">
        <f t="shared" si="6"/>
        <v>2402.0458219525212</v>
      </c>
      <c r="E141" s="3">
        <f t="shared" si="7"/>
        <v>368830.03860997566</v>
      </c>
      <c r="F141" s="4">
        <f>('Owner Occupier'!$H$24-'Owner Occupier'!$D$52)/('Owner Occupier'!$D$56-'Owner Occupier'!$D$52)*B141</f>
        <v>519.52408860849016</v>
      </c>
      <c r="G141" s="4">
        <f t="shared" si="8"/>
        <v>56833.955239401708</v>
      </c>
    </row>
    <row r="142" spans="1:7" x14ac:dyDescent="0.25">
      <c r="A142">
        <v>139</v>
      </c>
      <c r="B142" s="4">
        <f>-PPMT('Owner Occupier'!$D$41/12,'FHA Amotization'!$A142,360,'Owner Occupier'!$D$40,0,0)</f>
        <v>1095.7727685421908</v>
      </c>
      <c r="C142" s="4">
        <f>-IPMT('Owner Occupier'!$D$41/12,'FHA Amotization'!$A142,360,'Owner Occupier'!$D$40,0,0)</f>
        <v>1306.2730534103302</v>
      </c>
      <c r="D142" s="4">
        <f t="shared" si="6"/>
        <v>2402.0458219525208</v>
      </c>
      <c r="E142" s="3">
        <f t="shared" si="7"/>
        <v>367734.26584143349</v>
      </c>
      <c r="F142" s="4">
        <f>('Owner Occupier'!$H$24-'Owner Occupier'!$D$52)/('Owner Occupier'!$D$56-'Owner Occupier'!$D$52)*B142</f>
        <v>521.36406975564523</v>
      </c>
      <c r="G142" s="4">
        <f t="shared" si="8"/>
        <v>57355.319309157356</v>
      </c>
    </row>
    <row r="143" spans="1:7" x14ac:dyDescent="0.25">
      <c r="A143">
        <v>140</v>
      </c>
      <c r="B143" s="4">
        <f>-PPMT('Owner Occupier'!$D$41/12,'FHA Amotization'!$A143,360,'Owner Occupier'!$D$40,0,0)</f>
        <v>1099.6536304307779</v>
      </c>
      <c r="C143" s="4">
        <f>-IPMT('Owner Occupier'!$D$41/12,'FHA Amotization'!$A143,360,'Owner Occupier'!$D$40,0,0)</f>
        <v>1302.3921915217436</v>
      </c>
      <c r="D143" s="4">
        <f t="shared" si="6"/>
        <v>2402.0458219525217</v>
      </c>
      <c r="E143" s="3">
        <f t="shared" si="7"/>
        <v>366634.61221100274</v>
      </c>
      <c r="F143" s="4">
        <f>('Owner Occupier'!$H$24-'Owner Occupier'!$D$52)/('Owner Occupier'!$D$56-'Owner Occupier'!$D$52)*B143</f>
        <v>523.21056750269656</v>
      </c>
      <c r="G143" s="4">
        <f t="shared" si="8"/>
        <v>57878.529876660054</v>
      </c>
    </row>
    <row r="144" spans="1:7" x14ac:dyDescent="0.25">
      <c r="A144">
        <v>141</v>
      </c>
      <c r="B144" s="4">
        <f>-PPMT('Owner Occupier'!$D$41/12,'FHA Amotization'!$A144,360,'Owner Occupier'!$D$40,0,0)</f>
        <v>1103.5482370385537</v>
      </c>
      <c r="C144" s="4">
        <f>-IPMT('Owner Occupier'!$D$41/12,'FHA Amotization'!$A144,360,'Owner Occupier'!$D$40,0,0)</f>
        <v>1298.4975849139678</v>
      </c>
      <c r="D144" s="4">
        <f t="shared" si="6"/>
        <v>2402.0458219525217</v>
      </c>
      <c r="E144" s="3">
        <f t="shared" si="7"/>
        <v>365531.06397396419</v>
      </c>
      <c r="F144" s="4">
        <f>('Owner Occupier'!$H$24-'Owner Occupier'!$D$52)/('Owner Occupier'!$D$56-'Owner Occupier'!$D$52)*B144</f>
        <v>525.06360492926865</v>
      </c>
      <c r="G144" s="4">
        <f t="shared" si="8"/>
        <v>58403.59348158932</v>
      </c>
    </row>
    <row r="145" spans="1:7" x14ac:dyDescent="0.25">
      <c r="A145">
        <v>142</v>
      </c>
      <c r="B145" s="4">
        <f>-PPMT('Owner Occupier'!$D$41/12,'FHA Amotization'!$A145,360,'Owner Occupier'!$D$40,0,0)</f>
        <v>1107.4566370447317</v>
      </c>
      <c r="C145" s="4">
        <f>-IPMT('Owner Occupier'!$D$41/12,'FHA Amotization'!$A145,360,'Owner Occupier'!$D$40,0,0)</f>
        <v>1294.5891849077898</v>
      </c>
      <c r="D145" s="4">
        <f t="shared" si="6"/>
        <v>2402.0458219525217</v>
      </c>
      <c r="E145" s="3">
        <f t="shared" si="7"/>
        <v>364423.60733691946</v>
      </c>
      <c r="F145" s="4">
        <f>('Owner Occupier'!$H$24-'Owner Occupier'!$D$52)/('Owner Occupier'!$D$56-'Owner Occupier'!$D$52)*B145</f>
        <v>526.92320519672637</v>
      </c>
      <c r="G145" s="4">
        <f t="shared" si="8"/>
        <v>58930.516686786046</v>
      </c>
    </row>
    <row r="146" spans="1:7" x14ac:dyDescent="0.25">
      <c r="A146">
        <v>143</v>
      </c>
      <c r="B146" s="4">
        <f>-PPMT('Owner Occupier'!$D$41/12,'FHA Amotization'!$A146,360,'Owner Occupier'!$D$40,0,0)</f>
        <v>1111.3788793009319</v>
      </c>
      <c r="C146" s="4">
        <f>-IPMT('Owner Occupier'!$D$41/12,'FHA Amotization'!$A146,360,'Owner Occupier'!$D$40,0,0)</f>
        <v>1290.6669426515896</v>
      </c>
      <c r="D146" s="4">
        <f t="shared" si="6"/>
        <v>2402.0458219525217</v>
      </c>
      <c r="E146" s="3">
        <f t="shared" si="7"/>
        <v>363312.2284576185</v>
      </c>
      <c r="F146" s="4">
        <f>('Owner Occupier'!$H$24-'Owner Occupier'!$D$52)/('Owner Occupier'!$D$56-'Owner Occupier'!$D$52)*B146</f>
        <v>528.78939154846478</v>
      </c>
      <c r="G146" s="4">
        <f t="shared" si="8"/>
        <v>59459.306078334514</v>
      </c>
    </row>
    <row r="147" spans="1:7" x14ac:dyDescent="0.25">
      <c r="A147">
        <v>144</v>
      </c>
      <c r="B147" s="4">
        <f>-PPMT('Owner Occupier'!$D$41/12,'FHA Amotization'!$A147,360,'Owner Occupier'!$D$40,0,0)</f>
        <v>1115.3150128317893</v>
      </c>
      <c r="C147" s="4">
        <f>-IPMT('Owner Occupier'!$D$41/12,'FHA Amotization'!$A147,360,'Owner Occupier'!$D$40,0,0)</f>
        <v>1286.7308091207321</v>
      </c>
      <c r="D147" s="4">
        <f t="shared" si="6"/>
        <v>2402.0458219525217</v>
      </c>
      <c r="E147" s="3">
        <f t="shared" si="7"/>
        <v>362196.91344478674</v>
      </c>
      <c r="F147" s="4">
        <f>('Owner Occupier'!$H$24-'Owner Occupier'!$D$52)/('Owner Occupier'!$D$56-'Owner Occupier'!$D$52)*B147</f>
        <v>530.66218731019899</v>
      </c>
      <c r="G147" s="4">
        <f t="shared" si="8"/>
        <v>59989.968265644711</v>
      </c>
    </row>
    <row r="148" spans="1:7" x14ac:dyDescent="0.25">
      <c r="A148">
        <v>145</v>
      </c>
      <c r="B148" s="4">
        <f>-PPMT('Owner Occupier'!$D$41/12,'FHA Amotization'!$A148,360,'Owner Occupier'!$D$40,0,0)</f>
        <v>1119.2650868355686</v>
      </c>
      <c r="C148" s="4">
        <f>-IPMT('Owner Occupier'!$D$41/12,'FHA Amotization'!$A148,360,'Owner Occupier'!$D$40,0,0)</f>
        <v>1282.7807351169527</v>
      </c>
      <c r="D148" s="4">
        <f t="shared" si="6"/>
        <v>2402.0458219525212</v>
      </c>
      <c r="E148" s="3">
        <f t="shared" si="7"/>
        <v>361077.6483579512</v>
      </c>
      <c r="F148" s="4">
        <f>('Owner Occupier'!$H$24-'Owner Occupier'!$D$52)/('Owner Occupier'!$D$56-'Owner Occupier'!$D$52)*B148</f>
        <v>532.54161589025591</v>
      </c>
      <c r="G148" s="4">
        <f t="shared" si="8"/>
        <v>60522.50988153497</v>
      </c>
    </row>
    <row r="149" spans="1:7" x14ac:dyDescent="0.25">
      <c r="A149">
        <v>146</v>
      </c>
      <c r="B149" s="4">
        <f>-PPMT('Owner Occupier'!$D$41/12,'FHA Amotization'!$A149,360,'Owner Occupier'!$D$40,0,0)</f>
        <v>1123.2291506847778</v>
      </c>
      <c r="C149" s="4">
        <f>-IPMT('Owner Occupier'!$D$41/12,'FHA Amotization'!$A149,360,'Owner Occupier'!$D$40,0,0)</f>
        <v>1278.8166712677437</v>
      </c>
      <c r="D149" s="4">
        <f t="shared" si="6"/>
        <v>2402.0458219525217</v>
      </c>
      <c r="E149" s="3">
        <f t="shared" si="7"/>
        <v>359954.41920726642</v>
      </c>
      <c r="F149" s="4">
        <f>('Owner Occupier'!$H$24-'Owner Occupier'!$D$52)/('Owner Occupier'!$D$56-'Owner Occupier'!$D$52)*B149</f>
        <v>534.42770077986722</v>
      </c>
      <c r="G149" s="4">
        <f t="shared" si="8"/>
        <v>61056.937582314837</v>
      </c>
    </row>
    <row r="150" spans="1:7" x14ac:dyDescent="0.25">
      <c r="A150">
        <v>147</v>
      </c>
      <c r="B150" s="4">
        <f>-PPMT('Owner Occupier'!$D$41/12,'FHA Amotization'!$A150,360,'Owner Occupier'!$D$40,0,0)</f>
        <v>1127.2072539267865</v>
      </c>
      <c r="C150" s="4">
        <f>-IPMT('Owner Occupier'!$D$41/12,'FHA Amotization'!$A150,360,'Owner Occupier'!$D$40,0,0)</f>
        <v>1274.8385680257352</v>
      </c>
      <c r="D150" s="4">
        <f t="shared" si="6"/>
        <v>2402.0458219525217</v>
      </c>
      <c r="E150" s="3">
        <f t="shared" si="7"/>
        <v>358827.21195333963</v>
      </c>
      <c r="F150" s="4">
        <f>('Owner Occupier'!$H$24-'Owner Occupier'!$D$52)/('Owner Occupier'!$D$56-'Owner Occupier'!$D$52)*B150</f>
        <v>536.32046555346255</v>
      </c>
      <c r="G150" s="4">
        <f t="shared" si="8"/>
        <v>61593.258047868301</v>
      </c>
    </row>
    <row r="151" spans="1:7" x14ac:dyDescent="0.25">
      <c r="A151">
        <v>148</v>
      </c>
      <c r="B151" s="4">
        <f>-PPMT('Owner Occupier'!$D$41/12,'FHA Amotization'!$A151,360,'Owner Occupier'!$D$40,0,0)</f>
        <v>1131.1994462844441</v>
      </c>
      <c r="C151" s="4">
        <f>-IPMT('Owner Occupier'!$D$41/12,'FHA Amotization'!$A151,360,'Owner Occupier'!$D$40,0,0)</f>
        <v>1270.8463756680774</v>
      </c>
      <c r="D151" s="4">
        <f t="shared" si="6"/>
        <v>2402.0458219525217</v>
      </c>
      <c r="E151" s="3">
        <f t="shared" si="7"/>
        <v>357696.01250705519</v>
      </c>
      <c r="F151" s="4">
        <f>('Owner Occupier'!$H$24-'Owner Occupier'!$D$52)/('Owner Occupier'!$D$56-'Owner Occupier'!$D$52)*B151</f>
        <v>538.21993386896452</v>
      </c>
      <c r="G151" s="4">
        <f t="shared" si="8"/>
        <v>62131.477981737269</v>
      </c>
    </row>
    <row r="152" spans="1:7" x14ac:dyDescent="0.25">
      <c r="A152">
        <v>149</v>
      </c>
      <c r="B152" s="4">
        <f>-PPMT('Owner Occupier'!$D$41/12,'FHA Amotization'!$A152,360,'Owner Occupier'!$D$40,0,0)</f>
        <v>1135.2057776567015</v>
      </c>
      <c r="C152" s="4">
        <f>-IPMT('Owner Occupier'!$D$41/12,'FHA Amotization'!$A152,360,'Owner Occupier'!$D$40,0,0)</f>
        <v>1266.8400442958202</v>
      </c>
      <c r="D152" s="4">
        <f t="shared" si="6"/>
        <v>2402.0458219525217</v>
      </c>
      <c r="E152" s="3">
        <f t="shared" si="7"/>
        <v>356560.80672939849</v>
      </c>
      <c r="F152" s="4">
        <f>('Owner Occupier'!$H$24-'Owner Occupier'!$D$52)/('Owner Occupier'!$D$56-'Owner Occupier'!$D$52)*B152</f>
        <v>540.12612946808383</v>
      </c>
      <c r="G152" s="4">
        <f t="shared" si="8"/>
        <v>62671.60411120535</v>
      </c>
    </row>
    <row r="153" spans="1:7" x14ac:dyDescent="0.25">
      <c r="A153">
        <v>150</v>
      </c>
      <c r="B153" s="4">
        <f>-PPMT('Owner Occupier'!$D$41/12,'FHA Amotization'!$A153,360,'Owner Occupier'!$D$40,0,0)</f>
        <v>1139.2262981192355</v>
      </c>
      <c r="C153" s="4">
        <f>-IPMT('Owner Occupier'!$D$41/12,'FHA Amotization'!$A153,360,'Owner Occupier'!$D$40,0,0)</f>
        <v>1262.8195238332858</v>
      </c>
      <c r="D153" s="4">
        <f t="shared" si="6"/>
        <v>2402.0458219525212</v>
      </c>
      <c r="E153" s="3">
        <f t="shared" si="7"/>
        <v>355421.58043127926</v>
      </c>
      <c r="F153" s="4">
        <f>('Owner Occupier'!$H$24-'Owner Occupier'!$D$52)/('Owner Occupier'!$D$56-'Owner Occupier'!$D$52)*B153</f>
        <v>542.0390761766165</v>
      </c>
      <c r="G153" s="4">
        <f t="shared" si="8"/>
        <v>63213.643187381967</v>
      </c>
    </row>
    <row r="154" spans="1:7" x14ac:dyDescent="0.25">
      <c r="A154">
        <v>151</v>
      </c>
      <c r="B154" s="4">
        <f>-PPMT('Owner Occupier'!$D$41/12,'FHA Amotization'!$A154,360,'Owner Occupier'!$D$40,0,0)</f>
        <v>1143.2610579250745</v>
      </c>
      <c r="C154" s="4">
        <f>-IPMT('Owner Occupier'!$D$41/12,'FHA Amotization'!$A154,360,'Owner Occupier'!$D$40,0,0)</f>
        <v>1258.784764027447</v>
      </c>
      <c r="D154" s="4">
        <f t="shared" si="6"/>
        <v>2402.0458219525217</v>
      </c>
      <c r="E154" s="3">
        <f t="shared" si="7"/>
        <v>354278.3193733542</v>
      </c>
      <c r="F154" s="4">
        <f>('Owner Occupier'!$H$24-'Owner Occupier'!$D$52)/('Owner Occupier'!$D$56-'Owner Occupier'!$D$52)*B154</f>
        <v>543.95879790474203</v>
      </c>
      <c r="G154" s="4">
        <f t="shared" si="8"/>
        <v>63757.60198528671</v>
      </c>
    </row>
    <row r="155" spans="1:7" x14ac:dyDescent="0.25">
      <c r="A155">
        <v>152</v>
      </c>
      <c r="B155" s="4">
        <f>-PPMT('Owner Occupier'!$D$41/12,'FHA Amotization'!$A155,360,'Owner Occupier'!$D$40,0,0)</f>
        <v>1147.3101075052257</v>
      </c>
      <c r="C155" s="4">
        <f>-IPMT('Owner Occupier'!$D$41/12,'FHA Amotization'!$A155,360,'Owner Occupier'!$D$40,0,0)</f>
        <v>1254.7357144472958</v>
      </c>
      <c r="D155" s="4">
        <f t="shared" si="6"/>
        <v>2402.0458219525217</v>
      </c>
      <c r="E155" s="3">
        <f t="shared" si="7"/>
        <v>353131.00926584896</v>
      </c>
      <c r="F155" s="4">
        <f>('Owner Occupier'!$H$24-'Owner Occupier'!$D$52)/('Owner Occupier'!$D$56-'Owner Occupier'!$D$52)*B155</f>
        <v>545.88531864732136</v>
      </c>
      <c r="G155" s="4">
        <f t="shared" si="8"/>
        <v>64303.487303934031</v>
      </c>
    </row>
    <row r="156" spans="1:7" x14ac:dyDescent="0.25">
      <c r="A156">
        <v>153</v>
      </c>
      <c r="B156" s="4">
        <f>-PPMT('Owner Occupier'!$D$41/12,'FHA Amotization'!$A156,360,'Owner Occupier'!$D$40,0,0)</f>
        <v>1151.3734974693066</v>
      </c>
      <c r="C156" s="4">
        <f>-IPMT('Owner Occupier'!$D$41/12,'FHA Amotization'!$A156,360,'Owner Occupier'!$D$40,0,0)</f>
        <v>1250.6723244832147</v>
      </c>
      <c r="D156" s="4">
        <f t="shared" si="6"/>
        <v>2402.0458219525212</v>
      </c>
      <c r="E156" s="3">
        <f t="shared" si="7"/>
        <v>351979.63576837967</v>
      </c>
      <c r="F156" s="4">
        <f>('Owner Occupier'!$H$24-'Owner Occupier'!$D$52)/('Owner Occupier'!$D$56-'Owner Occupier'!$D$52)*B156</f>
        <v>547.81866248419715</v>
      </c>
      <c r="G156" s="4">
        <f t="shared" si="8"/>
        <v>64851.305966418229</v>
      </c>
    </row>
    <row r="157" spans="1:7" x14ac:dyDescent="0.25">
      <c r="A157">
        <v>154</v>
      </c>
      <c r="B157" s="4">
        <f>-PPMT('Owner Occupier'!$D$41/12,'FHA Amotization'!$A157,360,'Owner Occupier'!$D$40,0,0)</f>
        <v>1155.4512786061773</v>
      </c>
      <c r="C157" s="4">
        <f>-IPMT('Owner Occupier'!$D$41/12,'FHA Amotization'!$A157,360,'Owner Occupier'!$D$40,0,0)</f>
        <v>1246.5945433463442</v>
      </c>
      <c r="D157" s="4">
        <f t="shared" si="6"/>
        <v>2402.0458219525217</v>
      </c>
      <c r="E157" s="3">
        <f t="shared" si="7"/>
        <v>350824.18448977347</v>
      </c>
      <c r="F157" s="4">
        <f>('Owner Occupier'!$H$24-'Owner Occupier'!$D$52)/('Owner Occupier'!$D$56-'Owner Occupier'!$D$52)*B157</f>
        <v>549.7588535804955</v>
      </c>
      <c r="G157" s="4">
        <f t="shared" si="8"/>
        <v>65401.064819998726</v>
      </c>
    </row>
    <row r="158" spans="1:7" x14ac:dyDescent="0.25">
      <c r="A158">
        <v>155</v>
      </c>
      <c r="B158" s="4">
        <f>-PPMT('Owner Occupier'!$D$41/12,'FHA Amotization'!$A158,360,'Owner Occupier'!$D$40,0,0)</f>
        <v>1159.5435018845742</v>
      </c>
      <c r="C158" s="4">
        <f>-IPMT('Owner Occupier'!$D$41/12,'FHA Amotization'!$A158,360,'Owner Occupier'!$D$40,0,0)</f>
        <v>1242.5023200679473</v>
      </c>
      <c r="D158" s="4">
        <f t="shared" si="6"/>
        <v>2402.0458219525217</v>
      </c>
      <c r="E158" s="3">
        <f t="shared" si="7"/>
        <v>349664.64098788891</v>
      </c>
      <c r="F158" s="4">
        <f>('Owner Occupier'!$H$24-'Owner Occupier'!$D$52)/('Owner Occupier'!$D$56-'Owner Occupier'!$D$52)*B158</f>
        <v>551.7059161869264</v>
      </c>
      <c r="G158" s="4">
        <f t="shared" si="8"/>
        <v>65952.770736185659</v>
      </c>
    </row>
    <row r="159" spans="1:7" x14ac:dyDescent="0.25">
      <c r="A159">
        <v>156</v>
      </c>
      <c r="B159" s="4">
        <f>-PPMT('Owner Occupier'!$D$41/12,'FHA Amotization'!$A159,360,'Owner Occupier'!$D$40,0,0)</f>
        <v>1163.6502184537487</v>
      </c>
      <c r="C159" s="4">
        <f>-IPMT('Owner Occupier'!$D$41/12,'FHA Amotization'!$A159,360,'Owner Occupier'!$D$40,0,0)</f>
        <v>1238.3956034987725</v>
      </c>
      <c r="D159" s="4">
        <f t="shared" si="6"/>
        <v>2402.0458219525212</v>
      </c>
      <c r="E159" s="3">
        <f t="shared" si="7"/>
        <v>348500.99076943519</v>
      </c>
      <c r="F159" s="4">
        <f>('Owner Occupier'!$H$24-'Owner Occupier'!$D$52)/('Owner Occupier'!$D$56-'Owner Occupier'!$D$52)*B159</f>
        <v>553.65987464008845</v>
      </c>
      <c r="G159" s="4">
        <f t="shared" si="8"/>
        <v>66506.430610825744</v>
      </c>
    </row>
    <row r="160" spans="1:7" x14ac:dyDescent="0.25">
      <c r="A160">
        <v>157</v>
      </c>
      <c r="B160" s="4">
        <f>-PPMT('Owner Occupier'!$D$41/12,'FHA Amotization'!$A160,360,'Owner Occupier'!$D$40,0,0)</f>
        <v>1167.7714796441057</v>
      </c>
      <c r="C160" s="4">
        <f>-IPMT('Owner Occupier'!$D$41/12,'FHA Amotization'!$A160,360,'Owner Occupier'!$D$40,0,0)</f>
        <v>1234.2743423084157</v>
      </c>
      <c r="D160" s="4">
        <f t="shared" si="6"/>
        <v>2402.0458219525217</v>
      </c>
      <c r="E160" s="3">
        <f t="shared" si="7"/>
        <v>347333.21928979107</v>
      </c>
      <c r="F160" s="4">
        <f>('Owner Occupier'!$H$24-'Owner Occupier'!$D$52)/('Owner Occupier'!$D$56-'Owner Occupier'!$D$52)*B160</f>
        <v>555.62075336277212</v>
      </c>
      <c r="G160" s="4">
        <f t="shared" si="8"/>
        <v>67062.051364188519</v>
      </c>
    </row>
    <row r="161" spans="1:7" x14ac:dyDescent="0.25">
      <c r="A161">
        <v>158</v>
      </c>
      <c r="B161" s="4">
        <f>-PPMT('Owner Occupier'!$D$41/12,'FHA Amotization'!$A161,360,'Owner Occupier'!$D$40,0,0)</f>
        <v>1171.9073369678451</v>
      </c>
      <c r="C161" s="4">
        <f>-IPMT('Owner Occupier'!$D$41/12,'FHA Amotization'!$A161,360,'Owner Occupier'!$D$40,0,0)</f>
        <v>1230.1384849846761</v>
      </c>
      <c r="D161" s="4">
        <f t="shared" si="6"/>
        <v>2402.0458219525212</v>
      </c>
      <c r="E161" s="3">
        <f t="shared" si="7"/>
        <v>346161.31195282325</v>
      </c>
      <c r="F161" s="4">
        <f>('Owner Occupier'!$H$24-'Owner Occupier'!$D$52)/('Owner Occupier'!$D$56-'Owner Occupier'!$D$52)*B161</f>
        <v>557.58857686426518</v>
      </c>
      <c r="G161" s="4">
        <f t="shared" si="8"/>
        <v>67619.639941052781</v>
      </c>
    </row>
    <row r="162" spans="1:7" x14ac:dyDescent="0.25">
      <c r="A162">
        <v>159</v>
      </c>
      <c r="B162" s="4">
        <f>-PPMT('Owner Occupier'!$D$41/12,'FHA Amotization'!$A162,360,'Owner Occupier'!$D$40,0,0)</f>
        <v>1176.0578421196062</v>
      </c>
      <c r="C162" s="4">
        <f>-IPMT('Owner Occupier'!$D$41/12,'FHA Amotization'!$A162,360,'Owner Occupier'!$D$40,0,0)</f>
        <v>1225.9879798329152</v>
      </c>
      <c r="D162" s="4">
        <f t="shared" si="6"/>
        <v>2402.0458219525217</v>
      </c>
      <c r="E162" s="3">
        <f t="shared" si="7"/>
        <v>344985.25411070365</v>
      </c>
      <c r="F162" s="4">
        <f>('Owner Occupier'!$H$24-'Owner Occupier'!$D$52)/('Owner Occupier'!$D$56-'Owner Occupier'!$D$52)*B162</f>
        <v>559.56336974065948</v>
      </c>
      <c r="G162" s="4">
        <f t="shared" si="8"/>
        <v>68179.20331079344</v>
      </c>
    </row>
    <row r="163" spans="1:7" x14ac:dyDescent="0.25">
      <c r="A163">
        <v>160</v>
      </c>
      <c r="B163" s="4">
        <f>-PPMT('Owner Occupier'!$D$41/12,'FHA Amotization'!$A163,360,'Owner Occupier'!$D$40,0,0)</f>
        <v>1180.2230469771134</v>
      </c>
      <c r="C163" s="4">
        <f>-IPMT('Owner Occupier'!$D$41/12,'FHA Amotization'!$A163,360,'Owner Occupier'!$D$40,0,0)</f>
        <v>1221.822774975408</v>
      </c>
      <c r="D163" s="4">
        <f t="shared" si="6"/>
        <v>2402.0458219525217</v>
      </c>
      <c r="E163" s="3">
        <f t="shared" si="7"/>
        <v>343805.03106372652</v>
      </c>
      <c r="F163" s="4">
        <f>('Owner Occupier'!$H$24-'Owner Occupier'!$D$52)/('Owner Occupier'!$D$56-'Owner Occupier'!$D$52)*B163</f>
        <v>561.54515667515773</v>
      </c>
      <c r="G163" s="4">
        <f t="shared" si="8"/>
        <v>68740.748467468598</v>
      </c>
    </row>
    <row r="164" spans="1:7" x14ac:dyDescent="0.25">
      <c r="A164">
        <v>161</v>
      </c>
      <c r="B164" s="4">
        <f>-PPMT('Owner Occupier'!$D$41/12,'FHA Amotization'!$A164,360,'Owner Occupier'!$D$40,0,0)</f>
        <v>1184.4030036018239</v>
      </c>
      <c r="C164" s="4">
        <f>-IPMT('Owner Occupier'!$D$41/12,'FHA Amotization'!$A164,360,'Owner Occupier'!$D$40,0,0)</f>
        <v>1217.6428183506976</v>
      </c>
      <c r="D164" s="4">
        <f t="shared" si="6"/>
        <v>2402.0458219525217</v>
      </c>
      <c r="E164" s="3">
        <f t="shared" si="7"/>
        <v>342620.6280601247</v>
      </c>
      <c r="F164" s="4">
        <f>('Owner Occupier'!$H$24-'Owner Occupier'!$D$52)/('Owner Occupier'!$D$56-'Owner Occupier'!$D$52)*B164</f>
        <v>563.53396243838222</v>
      </c>
      <c r="G164" s="4">
        <f t="shared" si="8"/>
        <v>69304.282429906976</v>
      </c>
    </row>
    <row r="165" spans="1:7" x14ac:dyDescent="0.25">
      <c r="A165">
        <v>162</v>
      </c>
      <c r="B165" s="4">
        <f>-PPMT('Owner Occupier'!$D$41/12,'FHA Amotization'!$A165,360,'Owner Occupier'!$D$40,0,0)</f>
        <v>1188.5977642395803</v>
      </c>
      <c r="C165" s="4">
        <f>-IPMT('Owner Occupier'!$D$41/12,'FHA Amotization'!$A165,360,'Owner Occupier'!$D$40,0,0)</f>
        <v>1213.4480577129409</v>
      </c>
      <c r="D165" s="4">
        <f t="shared" si="6"/>
        <v>2402.0458219525212</v>
      </c>
      <c r="E165" s="3">
        <f t="shared" si="7"/>
        <v>341432.03029588511</v>
      </c>
      <c r="F165" s="4">
        <f>('Owner Occupier'!$H$24-'Owner Occupier'!$D$52)/('Owner Occupier'!$D$56-'Owner Occupier'!$D$52)*B165</f>
        <v>565.52981188868478</v>
      </c>
      <c r="G165" s="4">
        <f t="shared" si="8"/>
        <v>69869.812241795662</v>
      </c>
    </row>
    <row r="166" spans="1:7" x14ac:dyDescent="0.25">
      <c r="A166">
        <v>163</v>
      </c>
      <c r="B166" s="4">
        <f>-PPMT('Owner Occupier'!$D$41/12,'FHA Amotization'!$A166,360,'Owner Occupier'!$D$40,0,0)</f>
        <v>1192.8073813212623</v>
      </c>
      <c r="C166" s="4">
        <f>-IPMT('Owner Occupier'!$D$41/12,'FHA Amotization'!$A166,360,'Owner Occupier'!$D$40,0,0)</f>
        <v>1209.238440631259</v>
      </c>
      <c r="D166" s="4">
        <f t="shared" si="6"/>
        <v>2402.0458219525212</v>
      </c>
      <c r="E166" s="3">
        <f t="shared" si="7"/>
        <v>340239.22291456384</v>
      </c>
      <c r="F166" s="4">
        <f>('Owner Occupier'!$H$24-'Owner Occupier'!$D$52)/('Owner Occupier'!$D$56-'Owner Occupier'!$D$52)*B166</f>
        <v>567.53272997245722</v>
      </c>
      <c r="G166" s="4">
        <f t="shared" si="8"/>
        <v>70437.344971768121</v>
      </c>
    </row>
    <row r="167" spans="1:7" x14ac:dyDescent="0.25">
      <c r="A167">
        <v>164</v>
      </c>
      <c r="B167" s="4">
        <f>-PPMT('Owner Occupier'!$D$41/12,'FHA Amotization'!$A167,360,'Owner Occupier'!$D$40,0,0)</f>
        <v>1197.0319074634417</v>
      </c>
      <c r="C167" s="4">
        <f>-IPMT('Owner Occupier'!$D$41/12,'FHA Amotization'!$A167,360,'Owner Occupier'!$D$40,0,0)</f>
        <v>1205.0139144890798</v>
      </c>
      <c r="D167" s="4">
        <f t="shared" si="6"/>
        <v>2402.0458219525217</v>
      </c>
      <c r="E167" s="3">
        <f t="shared" si="7"/>
        <v>339042.19100710039</v>
      </c>
      <c r="F167" s="4">
        <f>('Owner Occupier'!$H$24-'Owner Occupier'!$D$52)/('Owner Occupier'!$D$56-'Owner Occupier'!$D$52)*B167</f>
        <v>569.54274172444298</v>
      </c>
      <c r="G167" s="4">
        <f t="shared" si="8"/>
        <v>71006.887713492571</v>
      </c>
    </row>
    <row r="168" spans="1:7" x14ac:dyDescent="0.25">
      <c r="A168">
        <v>165</v>
      </c>
      <c r="B168" s="4">
        <f>-PPMT('Owner Occupier'!$D$41/12,'FHA Amotization'!$A168,360,'Owner Occupier'!$D$40,0,0)</f>
        <v>1201.2713954690414</v>
      </c>
      <c r="C168" s="4">
        <f>-IPMT('Owner Occupier'!$D$41/12,'FHA Amotization'!$A168,360,'Owner Occupier'!$D$40,0,0)</f>
        <v>1200.7744264834801</v>
      </c>
      <c r="D168" s="4">
        <f t="shared" si="6"/>
        <v>2402.0458219525217</v>
      </c>
      <c r="E168" s="3">
        <f t="shared" si="7"/>
        <v>337840.91961163137</v>
      </c>
      <c r="F168" s="4">
        <f>('Owner Occupier'!$H$24-'Owner Occupier'!$D$52)/('Owner Occupier'!$D$56-'Owner Occupier'!$D$52)*B168</f>
        <v>571.55987226805041</v>
      </c>
      <c r="G168" s="4">
        <f t="shared" si="8"/>
        <v>71578.447585760616</v>
      </c>
    </row>
    <row r="169" spans="1:7" x14ac:dyDescent="0.25">
      <c r="A169">
        <v>166</v>
      </c>
      <c r="B169" s="4">
        <f>-PPMT('Owner Occupier'!$D$41/12,'FHA Amotization'!$A169,360,'Owner Occupier'!$D$40,0,0)</f>
        <v>1205.5258983279944</v>
      </c>
      <c r="C169" s="4">
        <f>-IPMT('Owner Occupier'!$D$41/12,'FHA Amotization'!$A169,360,'Owner Occupier'!$D$40,0,0)</f>
        <v>1196.5199236245273</v>
      </c>
      <c r="D169" s="4">
        <f t="shared" si="6"/>
        <v>2402.0458219525217</v>
      </c>
      <c r="E169" s="3">
        <f t="shared" si="7"/>
        <v>336635.39371330338</v>
      </c>
      <c r="F169" s="4">
        <f>('Owner Occupier'!$H$24-'Owner Occupier'!$D$52)/('Owner Occupier'!$D$56-'Owner Occupier'!$D$52)*B169</f>
        <v>573.58414681566649</v>
      </c>
      <c r="G169" s="4">
        <f t="shared" si="8"/>
        <v>72152.031732576288</v>
      </c>
    </row>
    <row r="170" spans="1:7" x14ac:dyDescent="0.25">
      <c r="A170">
        <v>167</v>
      </c>
      <c r="B170" s="4">
        <f>-PPMT('Owner Occupier'!$D$41/12,'FHA Amotization'!$A170,360,'Owner Occupier'!$D$40,0,0)</f>
        <v>1209.7954692179057</v>
      </c>
      <c r="C170" s="4">
        <f>-IPMT('Owner Occupier'!$D$41/12,'FHA Amotization'!$A170,360,'Owner Occupier'!$D$40,0,0)</f>
        <v>1192.2503527346155</v>
      </c>
      <c r="D170" s="4">
        <f t="shared" si="6"/>
        <v>2402.0458219525212</v>
      </c>
      <c r="E170" s="3">
        <f t="shared" si="7"/>
        <v>335425.59824408544</v>
      </c>
      <c r="F170" s="4">
        <f>('Owner Occupier'!$H$24-'Owner Occupier'!$D$52)/('Owner Occupier'!$D$56-'Owner Occupier'!$D$52)*B170</f>
        <v>575.61559066897189</v>
      </c>
      <c r="G170" s="4">
        <f t="shared" si="8"/>
        <v>72727.647323245255</v>
      </c>
    </row>
    <row r="171" spans="1:7" x14ac:dyDescent="0.25">
      <c r="A171">
        <v>168</v>
      </c>
      <c r="B171" s="4">
        <f>-PPMT('Owner Occupier'!$D$41/12,'FHA Amotization'!$A171,360,'Owner Occupier'!$D$40,0,0)</f>
        <v>1214.0801615047192</v>
      </c>
      <c r="C171" s="4">
        <f>-IPMT('Owner Occupier'!$D$41/12,'FHA Amotization'!$A171,360,'Owner Occupier'!$D$40,0,0)</f>
        <v>1187.9656604478018</v>
      </c>
      <c r="D171" s="4">
        <f t="shared" si="6"/>
        <v>2402.0458219525208</v>
      </c>
      <c r="E171" s="3">
        <f t="shared" si="7"/>
        <v>334211.5180825807</v>
      </c>
      <c r="F171" s="4">
        <f>('Owner Occupier'!$H$24-'Owner Occupier'!$D$52)/('Owner Occupier'!$D$56-'Owner Occupier'!$D$52)*B171</f>
        <v>577.65422921925779</v>
      </c>
      <c r="G171" s="4">
        <f t="shared" si="8"/>
        <v>73305.301552464516</v>
      </c>
    </row>
    <row r="172" spans="1:7" x14ac:dyDescent="0.25">
      <c r="A172">
        <v>169</v>
      </c>
      <c r="B172" s="4">
        <f>-PPMT('Owner Occupier'!$D$41/12,'FHA Amotization'!$A172,360,'Owner Occupier'!$D$40,0,0)</f>
        <v>1218.3800287433819</v>
      </c>
      <c r="C172" s="4">
        <f>-IPMT('Owner Occupier'!$D$41/12,'FHA Amotization'!$A172,360,'Owner Occupier'!$D$40,0,0)</f>
        <v>1183.6657932091396</v>
      </c>
      <c r="D172" s="4">
        <f t="shared" si="6"/>
        <v>2402.0458219525217</v>
      </c>
      <c r="E172" s="3">
        <f t="shared" si="7"/>
        <v>332993.13805383735</v>
      </c>
      <c r="F172" s="4">
        <f>('Owner Occupier'!$H$24-'Owner Occupier'!$D$52)/('Owner Occupier'!$D$56-'Owner Occupier'!$D$52)*B172</f>
        <v>579.70008794774276</v>
      </c>
      <c r="G172" s="4">
        <f t="shared" si="8"/>
        <v>73885.001640412258</v>
      </c>
    </row>
    <row r="173" spans="1:7" x14ac:dyDescent="0.25">
      <c r="A173">
        <v>170</v>
      </c>
      <c r="B173" s="4">
        <f>-PPMT('Owner Occupier'!$D$41/12,'FHA Amotization'!$A173,360,'Owner Occupier'!$D$40,0,0)</f>
        <v>1222.6951246785145</v>
      </c>
      <c r="C173" s="4">
        <f>-IPMT('Owner Occupier'!$D$41/12,'FHA Amotization'!$A173,360,'Owner Occupier'!$D$40,0,0)</f>
        <v>1179.3506972740065</v>
      </c>
      <c r="D173" s="4">
        <f t="shared" si="6"/>
        <v>2402.0458219525208</v>
      </c>
      <c r="E173" s="3">
        <f t="shared" si="7"/>
        <v>331770.44292915886</v>
      </c>
      <c r="F173" s="4">
        <f>('Owner Occupier'!$H$24-'Owner Occupier'!$D$52)/('Owner Occupier'!$D$56-'Owner Occupier'!$D$52)*B173</f>
        <v>581.75319242589092</v>
      </c>
      <c r="G173" s="4">
        <f t="shared" si="8"/>
        <v>74466.754832838153</v>
      </c>
    </row>
    <row r="174" spans="1:7" x14ac:dyDescent="0.25">
      <c r="A174">
        <v>171</v>
      </c>
      <c r="B174" s="4">
        <f>-PPMT('Owner Occupier'!$D$41/12,'FHA Amotization'!$A174,360,'Owner Occupier'!$D$40,0,0)</f>
        <v>1227.0255032450843</v>
      </c>
      <c r="C174" s="4">
        <f>-IPMT('Owner Occupier'!$D$41/12,'FHA Amotization'!$A174,360,'Owner Occupier'!$D$40,0,0)</f>
        <v>1175.0203187074371</v>
      </c>
      <c r="D174" s="4">
        <f t="shared" si="6"/>
        <v>2402.0458219525217</v>
      </c>
      <c r="E174" s="3">
        <f t="shared" si="7"/>
        <v>330543.41742591379</v>
      </c>
      <c r="F174" s="4">
        <f>('Owner Occupier'!$H$24-'Owner Occupier'!$D$52)/('Owner Occupier'!$D$56-'Owner Occupier'!$D$52)*B174</f>
        <v>583.8135683157326</v>
      </c>
      <c r="G174" s="4">
        <f t="shared" si="8"/>
        <v>75050.568401153883</v>
      </c>
    </row>
    <row r="175" spans="1:7" x14ac:dyDescent="0.25">
      <c r="A175">
        <v>172</v>
      </c>
      <c r="B175" s="4">
        <f>-PPMT('Owner Occupier'!$D$41/12,'FHA Amotization'!$A175,360,'Owner Occupier'!$D$40,0,0)</f>
        <v>1231.3712185690772</v>
      </c>
      <c r="C175" s="4">
        <f>-IPMT('Owner Occupier'!$D$41/12,'FHA Amotization'!$A175,360,'Owner Occupier'!$D$40,0,0)</f>
        <v>1170.6746033834443</v>
      </c>
      <c r="D175" s="4">
        <f t="shared" si="6"/>
        <v>2402.0458219525217</v>
      </c>
      <c r="E175" s="3">
        <f t="shared" si="7"/>
        <v>329312.04620734474</v>
      </c>
      <c r="F175" s="4">
        <f>('Owner Occupier'!$H$24-'Owner Occupier'!$D$52)/('Owner Occupier'!$D$56-'Owner Occupier'!$D$52)*B175</f>
        <v>585.88124137018417</v>
      </c>
      <c r="G175" s="4">
        <f t="shared" si="8"/>
        <v>75636.449642524065</v>
      </c>
    </row>
    <row r="176" spans="1:7" x14ac:dyDescent="0.25">
      <c r="A176">
        <v>173</v>
      </c>
      <c r="B176" s="4">
        <f>-PPMT('Owner Occupier'!$D$41/12,'FHA Amotization'!$A176,360,'Owner Occupier'!$D$40,0,0)</f>
        <v>1235.7323249681763</v>
      </c>
      <c r="C176" s="4">
        <f>-IPMT('Owner Occupier'!$D$41/12,'FHA Amotization'!$A176,360,'Owner Occupier'!$D$40,0,0)</f>
        <v>1166.3134969843452</v>
      </c>
      <c r="D176" s="4">
        <f t="shared" si="6"/>
        <v>2402.0458219525217</v>
      </c>
      <c r="E176" s="3">
        <f t="shared" si="7"/>
        <v>328076.31388237659</v>
      </c>
      <c r="F176" s="4">
        <f>('Owner Occupier'!$H$24-'Owner Occupier'!$D$52)/('Owner Occupier'!$D$56-'Owner Occupier'!$D$52)*B176</f>
        <v>587.95623743337035</v>
      </c>
      <c r="G176" s="4">
        <f t="shared" si="8"/>
        <v>76224.405879957441</v>
      </c>
    </row>
    <row r="177" spans="1:7" x14ac:dyDescent="0.25">
      <c r="A177">
        <v>174</v>
      </c>
      <c r="B177" s="4">
        <f>-PPMT('Owner Occupier'!$D$41/12,'FHA Amotization'!$A177,360,'Owner Occupier'!$D$40,0,0)</f>
        <v>1240.1088769524385</v>
      </c>
      <c r="C177" s="4">
        <f>-IPMT('Owner Occupier'!$D$41/12,'FHA Amotization'!$A177,360,'Owner Occupier'!$D$40,0,0)</f>
        <v>1161.9369450000829</v>
      </c>
      <c r="D177" s="4">
        <f t="shared" si="6"/>
        <v>2402.0458219525217</v>
      </c>
      <c r="E177" s="3">
        <f t="shared" si="7"/>
        <v>326836.20500542416</v>
      </c>
      <c r="F177" s="4">
        <f>('Owner Occupier'!$H$24-'Owner Occupier'!$D$52)/('Owner Occupier'!$D$56-'Owner Occupier'!$D$52)*B177</f>
        <v>590.03858244094681</v>
      </c>
      <c r="G177" s="4">
        <f t="shared" si="8"/>
        <v>76814.444462398387</v>
      </c>
    </row>
    <row r="178" spans="1:7" x14ac:dyDescent="0.25">
      <c r="A178">
        <v>175</v>
      </c>
      <c r="B178" s="4">
        <f>-PPMT('Owner Occupier'!$D$41/12,'FHA Amotization'!$A178,360,'Owner Occupier'!$D$40,0,0)</f>
        <v>1244.5009292249786</v>
      </c>
      <c r="C178" s="4">
        <f>-IPMT('Owner Occupier'!$D$41/12,'FHA Amotization'!$A178,360,'Owner Occupier'!$D$40,0,0)</f>
        <v>1157.5448927275431</v>
      </c>
      <c r="D178" s="4">
        <f t="shared" si="6"/>
        <v>2402.0458219525217</v>
      </c>
      <c r="E178" s="3">
        <f t="shared" si="7"/>
        <v>325591.70407619915</v>
      </c>
      <c r="F178" s="4">
        <f>('Owner Occupier'!$H$24-'Owner Occupier'!$D$52)/('Owner Occupier'!$D$56-'Owner Occupier'!$D$52)*B178</f>
        <v>592.12830242042526</v>
      </c>
      <c r="G178" s="4">
        <f t="shared" si="8"/>
        <v>77406.572764818819</v>
      </c>
    </row>
    <row r="179" spans="1:7" x14ac:dyDescent="0.25">
      <c r="A179">
        <v>176</v>
      </c>
      <c r="B179" s="4">
        <f>-PPMT('Owner Occupier'!$D$41/12,'FHA Amotization'!$A179,360,'Owner Occupier'!$D$40,0,0)</f>
        <v>1248.90853668265</v>
      </c>
      <c r="C179" s="4">
        <f>-IPMT('Owner Occupier'!$D$41/12,'FHA Amotization'!$A179,360,'Owner Occupier'!$D$40,0,0)</f>
        <v>1153.1372852698712</v>
      </c>
      <c r="D179" s="4">
        <f t="shared" si="6"/>
        <v>2402.0458219525212</v>
      </c>
      <c r="E179" s="3">
        <f t="shared" si="7"/>
        <v>324342.79553951649</v>
      </c>
      <c r="F179" s="4">
        <f>('Owner Occupier'!$H$24-'Owner Occupier'!$D$52)/('Owner Occupier'!$D$56-'Owner Occupier'!$D$52)*B179</f>
        <v>594.22542349149739</v>
      </c>
      <c r="G179" s="4">
        <f t="shared" si="8"/>
        <v>78000.79818831032</v>
      </c>
    </row>
    <row r="180" spans="1:7" x14ac:dyDescent="0.25">
      <c r="A180">
        <v>177</v>
      </c>
      <c r="B180" s="4">
        <f>-PPMT('Owner Occupier'!$D$41/12,'FHA Amotization'!$A180,360,'Owner Occupier'!$D$40,0,0)</f>
        <v>1253.3317544167344</v>
      </c>
      <c r="C180" s="4">
        <f>-IPMT('Owner Occupier'!$D$41/12,'FHA Amotization'!$A180,360,'Owner Occupier'!$D$40,0,0)</f>
        <v>1148.7140675357869</v>
      </c>
      <c r="D180" s="4">
        <f t="shared" si="6"/>
        <v>2402.0458219525212</v>
      </c>
      <c r="E180" s="3">
        <f t="shared" si="7"/>
        <v>323089.46378509974</v>
      </c>
      <c r="F180" s="4">
        <f>('Owner Occupier'!$H$24-'Owner Occupier'!$D$52)/('Owner Occupier'!$D$56-'Owner Occupier'!$D$52)*B180</f>
        <v>596.32997186636317</v>
      </c>
      <c r="G180" s="4">
        <f t="shared" si="8"/>
        <v>78597.128160176682</v>
      </c>
    </row>
    <row r="181" spans="1:7" x14ac:dyDescent="0.25">
      <c r="A181">
        <v>178</v>
      </c>
      <c r="B181" s="4">
        <f>-PPMT('Owner Occupier'!$D$41/12,'FHA Amotization'!$A181,360,'Owner Occupier'!$D$40,0,0)</f>
        <v>1257.7706377136271</v>
      </c>
      <c r="C181" s="4">
        <f>-IPMT('Owner Occupier'!$D$41/12,'FHA Amotization'!$A181,360,'Owner Occupier'!$D$40,0,0)</f>
        <v>1144.2751842388941</v>
      </c>
      <c r="D181" s="4">
        <f t="shared" si="6"/>
        <v>2402.0458219525212</v>
      </c>
      <c r="E181" s="3">
        <f t="shared" si="7"/>
        <v>321831.69314738613</v>
      </c>
      <c r="F181" s="4">
        <f>('Owner Occupier'!$H$24-'Owner Occupier'!$D$52)/('Owner Occupier'!$D$56-'Owner Occupier'!$D$52)*B181</f>
        <v>598.44197385005657</v>
      </c>
      <c r="G181" s="4">
        <f t="shared" si="8"/>
        <v>79195.570134026741</v>
      </c>
    </row>
    <row r="182" spans="1:7" x14ac:dyDescent="0.25">
      <c r="A182">
        <v>179</v>
      </c>
      <c r="B182" s="4">
        <f>-PPMT('Owner Occupier'!$D$41/12,'FHA Amotization'!$A182,360,'Owner Occupier'!$D$40,0,0)</f>
        <v>1262.2252420555296</v>
      </c>
      <c r="C182" s="4">
        <f>-IPMT('Owner Occupier'!$D$41/12,'FHA Amotization'!$A182,360,'Owner Occupier'!$D$40,0,0)</f>
        <v>1139.8205798969916</v>
      </c>
      <c r="D182" s="4">
        <f t="shared" si="6"/>
        <v>2402.0458219525212</v>
      </c>
      <c r="E182" s="3">
        <f t="shared" si="7"/>
        <v>320569.46790533059</v>
      </c>
      <c r="F182" s="4">
        <f>('Owner Occupier'!$H$24-'Owner Occupier'!$D$52)/('Owner Occupier'!$D$56-'Owner Occupier'!$D$52)*B182</f>
        <v>600.56145584077558</v>
      </c>
      <c r="G182" s="4">
        <f t="shared" si="8"/>
        <v>79796.131589867509</v>
      </c>
    </row>
    <row r="183" spans="1:7" x14ac:dyDescent="0.25">
      <c r="A183">
        <v>180</v>
      </c>
      <c r="B183" s="4">
        <f>-PPMT('Owner Occupier'!$D$41/12,'FHA Amotization'!$A183,360,'Owner Occupier'!$D$40,0,0)</f>
        <v>1266.6956231211427</v>
      </c>
      <c r="C183" s="4">
        <f>-IPMT('Owner Occupier'!$D$41/12,'FHA Amotization'!$A183,360,'Owner Occupier'!$D$40,0,0)</f>
        <v>1135.3501988313785</v>
      </c>
      <c r="D183" s="4">
        <f t="shared" si="6"/>
        <v>2402.0458219525212</v>
      </c>
      <c r="E183" s="3">
        <f t="shared" si="7"/>
        <v>319302.77228220942</v>
      </c>
      <c r="F183" s="4">
        <f>('Owner Occupier'!$H$24-'Owner Occupier'!$D$52)/('Owner Occupier'!$D$56-'Owner Occupier'!$D$52)*B183</f>
        <v>602.6884443302115</v>
      </c>
      <c r="G183" s="4">
        <f t="shared" si="8"/>
        <v>80398.820034197721</v>
      </c>
    </row>
    <row r="184" spans="1:7" x14ac:dyDescent="0.25">
      <c r="A184">
        <v>181</v>
      </c>
      <c r="B184" s="4">
        <f>-PPMT('Owner Occupier'!$D$41/12,'FHA Amotization'!$A184,360,'Owner Occupier'!$D$40,0,0)</f>
        <v>1271.1818367863639</v>
      </c>
      <c r="C184" s="4">
        <f>-IPMT('Owner Occupier'!$D$41/12,'FHA Amotization'!$A184,360,'Owner Occupier'!$D$40,0,0)</f>
        <v>1130.8639851661578</v>
      </c>
      <c r="D184" s="4">
        <f t="shared" si="6"/>
        <v>2402.0458219525217</v>
      </c>
      <c r="E184" s="3">
        <f t="shared" si="7"/>
        <v>318031.59044542303</v>
      </c>
      <c r="F184" s="4">
        <f>('Owner Occupier'!$H$24-'Owner Occupier'!$D$52)/('Owner Occupier'!$D$56-'Owner Occupier'!$D$52)*B184</f>
        <v>604.82296590388125</v>
      </c>
      <c r="G184" s="4">
        <f t="shared" si="8"/>
        <v>81003.643000101598</v>
      </c>
    </row>
    <row r="185" spans="1:7" x14ac:dyDescent="0.25">
      <c r="A185">
        <v>182</v>
      </c>
      <c r="B185" s="4">
        <f>-PPMT('Owner Occupier'!$D$41/12,'FHA Amotization'!$A185,360,'Owner Occupier'!$D$40,0,0)</f>
        <v>1275.6839391249819</v>
      </c>
      <c r="C185" s="4">
        <f>-IPMT('Owner Occupier'!$D$41/12,'FHA Amotization'!$A185,360,'Owner Occupier'!$D$40,0,0)</f>
        <v>1126.3618828275394</v>
      </c>
      <c r="D185" s="4">
        <f t="shared" si="6"/>
        <v>2402.0458219525212</v>
      </c>
      <c r="E185" s="3">
        <f t="shared" si="7"/>
        <v>316755.90650629805</v>
      </c>
      <c r="F185" s="4">
        <f>('Owner Occupier'!$H$24-'Owner Occupier'!$D$52)/('Owner Occupier'!$D$56-'Owner Occupier'!$D$52)*B185</f>
        <v>606.96504724145734</v>
      </c>
      <c r="G185" s="4">
        <f t="shared" si="8"/>
        <v>81610.608047343048</v>
      </c>
    </row>
    <row r="186" spans="1:7" x14ac:dyDescent="0.25">
      <c r="A186">
        <v>183</v>
      </c>
      <c r="B186" s="4">
        <f>-PPMT('Owner Occupier'!$D$41/12,'FHA Amotization'!$A186,360,'Owner Occupier'!$D$40,0,0)</f>
        <v>1280.2019864093829</v>
      </c>
      <c r="C186" s="4">
        <f>-IPMT('Owner Occupier'!$D$41/12,'FHA Amotization'!$A186,360,'Owner Occupier'!$D$40,0,0)</f>
        <v>1121.8438355431383</v>
      </c>
      <c r="D186" s="4">
        <f t="shared" si="6"/>
        <v>2402.0458219525212</v>
      </c>
      <c r="E186" s="3">
        <f t="shared" si="7"/>
        <v>315475.70451988868</v>
      </c>
      <c r="F186" s="4">
        <f>('Owner Occupier'!$H$24-'Owner Occupier'!$D$52)/('Owner Occupier'!$D$56-'Owner Occupier'!$D$52)*B186</f>
        <v>609.1147151171042</v>
      </c>
      <c r="G186" s="4">
        <f t="shared" si="8"/>
        <v>82219.722762460151</v>
      </c>
    </row>
    <row r="187" spans="1:7" x14ac:dyDescent="0.25">
      <c r="A187">
        <v>184</v>
      </c>
      <c r="B187" s="4">
        <f>-PPMT('Owner Occupier'!$D$41/12,'FHA Amotization'!$A187,360,'Owner Occupier'!$D$40,0,0)</f>
        <v>1284.7360351112495</v>
      </c>
      <c r="C187" s="4">
        <f>-IPMT('Owner Occupier'!$D$41/12,'FHA Amotization'!$A187,360,'Owner Occupier'!$D$40,0,0)</f>
        <v>1117.3097868412717</v>
      </c>
      <c r="D187" s="4">
        <f t="shared" si="6"/>
        <v>2402.0458219525212</v>
      </c>
      <c r="E187" s="3">
        <f t="shared" si="7"/>
        <v>314190.96848477743</v>
      </c>
      <c r="F187" s="4">
        <f>('Owner Occupier'!$H$24-'Owner Occupier'!$D$52)/('Owner Occupier'!$D$56-'Owner Occupier'!$D$52)*B187</f>
        <v>611.27199639981063</v>
      </c>
      <c r="G187" s="4">
        <f t="shared" si="8"/>
        <v>82830.994758859961</v>
      </c>
    </row>
    <row r="188" spans="1:7" x14ac:dyDescent="0.25">
      <c r="A188">
        <v>185</v>
      </c>
      <c r="B188" s="4">
        <f>-PPMT('Owner Occupier'!$D$41/12,'FHA Amotization'!$A188,360,'Owner Occupier'!$D$40,0,0)</f>
        <v>1289.2861419022686</v>
      </c>
      <c r="C188" s="4">
        <f>-IPMT('Owner Occupier'!$D$41/12,'FHA Amotization'!$A188,360,'Owner Occupier'!$D$40,0,0)</f>
        <v>1112.7596800502529</v>
      </c>
      <c r="D188" s="4">
        <f t="shared" si="6"/>
        <v>2402.0458219525217</v>
      </c>
      <c r="E188" s="3">
        <f t="shared" si="7"/>
        <v>312901.68234287517</v>
      </c>
      <c r="F188" s="4">
        <f>('Owner Occupier'!$H$24-'Owner Occupier'!$D$52)/('Owner Occupier'!$D$56-'Owner Occupier'!$D$52)*B188</f>
        <v>613.43691805372657</v>
      </c>
      <c r="G188" s="4">
        <f t="shared" si="8"/>
        <v>83444.431676913693</v>
      </c>
    </row>
    <row r="189" spans="1:7" x14ac:dyDescent="0.25">
      <c r="A189">
        <v>186</v>
      </c>
      <c r="B189" s="4">
        <f>-PPMT('Owner Occupier'!$D$41/12,'FHA Amotization'!$A189,360,'Owner Occupier'!$D$40,0,0)</f>
        <v>1293.8523636548391</v>
      </c>
      <c r="C189" s="4">
        <f>-IPMT('Owner Occupier'!$D$41/12,'FHA Amotization'!$A189,360,'Owner Occupier'!$D$40,0,0)</f>
        <v>1108.1934582976826</v>
      </c>
      <c r="D189" s="4">
        <f t="shared" si="6"/>
        <v>2402.0458219525217</v>
      </c>
      <c r="E189" s="3">
        <f t="shared" si="7"/>
        <v>311607.82997922035</v>
      </c>
      <c r="F189" s="4">
        <f>('Owner Occupier'!$H$24-'Owner Occupier'!$D$52)/('Owner Occupier'!$D$56-'Owner Occupier'!$D$52)*B189</f>
        <v>615.60950713850025</v>
      </c>
      <c r="G189" s="4">
        <f t="shared" si="8"/>
        <v>84060.041184052199</v>
      </c>
    </row>
    <row r="190" spans="1:7" x14ac:dyDescent="0.25">
      <c r="A190">
        <v>187</v>
      </c>
      <c r="B190" s="4">
        <f>-PPMT('Owner Occupier'!$D$41/12,'FHA Amotization'!$A190,360,'Owner Occupier'!$D$40,0,0)</f>
        <v>1298.4347574427834</v>
      </c>
      <c r="C190" s="4">
        <f>-IPMT('Owner Occupier'!$D$41/12,'FHA Amotization'!$A190,360,'Owner Occupier'!$D$40,0,0)</f>
        <v>1103.6110645097381</v>
      </c>
      <c r="D190" s="4">
        <f t="shared" si="6"/>
        <v>2402.0458219525217</v>
      </c>
      <c r="E190" s="3">
        <f t="shared" si="7"/>
        <v>310309.39522177755</v>
      </c>
      <c r="F190" s="4">
        <f>('Owner Occupier'!$H$24-'Owner Occupier'!$D$52)/('Owner Occupier'!$D$56-'Owner Occupier'!$D$52)*B190</f>
        <v>617.78979080961574</v>
      </c>
      <c r="G190" s="4">
        <f t="shared" si="8"/>
        <v>84677.830974861819</v>
      </c>
    </row>
    <row r="191" spans="1:7" x14ac:dyDescent="0.25">
      <c r="A191">
        <v>188</v>
      </c>
      <c r="B191" s="4">
        <f>-PPMT('Owner Occupier'!$D$41/12,'FHA Amotization'!$A191,360,'Owner Occupier'!$D$40,0,0)</f>
        <v>1303.0333805420598</v>
      </c>
      <c r="C191" s="4">
        <f>-IPMT('Owner Occupier'!$D$41/12,'FHA Amotization'!$A191,360,'Owner Occupier'!$D$40,0,0)</f>
        <v>1099.0124414104616</v>
      </c>
      <c r="D191" s="4">
        <f t="shared" si="6"/>
        <v>2402.0458219525217</v>
      </c>
      <c r="E191" s="3">
        <f t="shared" si="7"/>
        <v>309006.36184123548</v>
      </c>
      <c r="F191" s="4">
        <f>('Owner Occupier'!$H$24-'Owner Occupier'!$D$52)/('Owner Occupier'!$D$56-'Owner Occupier'!$D$52)*B191</f>
        <v>619.97779631873311</v>
      </c>
      <c r="G191" s="4">
        <f t="shared" si="8"/>
        <v>85297.808771180557</v>
      </c>
    </row>
    <row r="192" spans="1:7" x14ac:dyDescent="0.25">
      <c r="A192">
        <v>189</v>
      </c>
      <c r="B192" s="4">
        <f>-PPMT('Owner Occupier'!$D$41/12,'FHA Amotization'!$A192,360,'Owner Occupier'!$D$40,0,0)</f>
        <v>1307.6482904314796</v>
      </c>
      <c r="C192" s="4">
        <f>-IPMT('Owner Occupier'!$D$41/12,'FHA Amotization'!$A192,360,'Owner Occupier'!$D$40,0,0)</f>
        <v>1094.3975315210419</v>
      </c>
      <c r="D192" s="4">
        <f t="shared" si="6"/>
        <v>2402.0458219525217</v>
      </c>
      <c r="E192" s="3">
        <f t="shared" si="7"/>
        <v>307698.71355080401</v>
      </c>
      <c r="F192" s="4">
        <f>('Owner Occupier'!$H$24-'Owner Occupier'!$D$52)/('Owner Occupier'!$D$56-'Owner Occupier'!$D$52)*B192</f>
        <v>622.17355101402859</v>
      </c>
      <c r="G192" s="4">
        <f t="shared" si="8"/>
        <v>85919.982322194584</v>
      </c>
    </row>
    <row r="193" spans="1:7" x14ac:dyDescent="0.25">
      <c r="A193">
        <v>190</v>
      </c>
      <c r="B193" s="4">
        <f>-PPMT('Owner Occupier'!$D$41/12,'FHA Amotization'!$A193,360,'Owner Occupier'!$D$40,0,0)</f>
        <v>1312.2795447934243</v>
      </c>
      <c r="C193" s="4">
        <f>-IPMT('Owner Occupier'!$D$41/12,'FHA Amotization'!$A193,360,'Owner Occupier'!$D$40,0,0)</f>
        <v>1089.7662771590969</v>
      </c>
      <c r="D193" s="4">
        <f t="shared" si="6"/>
        <v>2402.0458219525212</v>
      </c>
      <c r="E193" s="3">
        <f t="shared" si="7"/>
        <v>306386.43400601059</v>
      </c>
      <c r="F193" s="4">
        <f>('Owner Occupier'!$H$24-'Owner Occupier'!$D$52)/('Owner Occupier'!$D$56-'Owner Occupier'!$D$52)*B193</f>
        <v>624.37708234053662</v>
      </c>
      <c r="G193" s="4">
        <f t="shared" si="8"/>
        <v>86544.35940453512</v>
      </c>
    </row>
    <row r="194" spans="1:7" x14ac:dyDescent="0.25">
      <c r="A194">
        <v>191</v>
      </c>
      <c r="B194" s="4">
        <f>-PPMT('Owner Occupier'!$D$41/12,'FHA Amotization'!$A194,360,'Owner Occupier'!$D$40,0,0)</f>
        <v>1316.9272015145677</v>
      </c>
      <c r="C194" s="4">
        <f>-IPMT('Owner Occupier'!$D$41/12,'FHA Amotization'!$A194,360,'Owner Occupier'!$D$40,0,0)</f>
        <v>1085.1186204379537</v>
      </c>
      <c r="D194" s="4">
        <f t="shared" si="6"/>
        <v>2402.0458219525217</v>
      </c>
      <c r="E194" s="3">
        <f t="shared" si="7"/>
        <v>305069.50680449605</v>
      </c>
      <c r="F194" s="4">
        <f>('Owner Occupier'!$H$24-'Owner Occupier'!$D$52)/('Owner Occupier'!$D$56-'Owner Occupier'!$D$52)*B194</f>
        <v>626.58841784049264</v>
      </c>
      <c r="G194" s="4">
        <f t="shared" si="8"/>
        <v>87170.947822375616</v>
      </c>
    </row>
    <row r="195" spans="1:7" x14ac:dyDescent="0.25">
      <c r="A195">
        <v>192</v>
      </c>
      <c r="B195" s="4">
        <f>-PPMT('Owner Occupier'!$D$41/12,'FHA Amotization'!$A195,360,'Owner Occupier'!$D$40,0,0)</f>
        <v>1321.5913186865987</v>
      </c>
      <c r="C195" s="4">
        <f>-IPMT('Owner Occupier'!$D$41/12,'FHA Amotization'!$A195,360,'Owner Occupier'!$D$40,0,0)</f>
        <v>1080.454503265923</v>
      </c>
      <c r="D195" s="4">
        <f t="shared" si="6"/>
        <v>2402.0458219525217</v>
      </c>
      <c r="E195" s="3">
        <f t="shared" si="7"/>
        <v>303747.91548580944</v>
      </c>
      <c r="F195" s="4">
        <f>('Owner Occupier'!$H$24-'Owner Occupier'!$D$52)/('Owner Occupier'!$D$56-'Owner Occupier'!$D$52)*B195</f>
        <v>628.80758515367779</v>
      </c>
      <c r="G195" s="4">
        <f t="shared" si="8"/>
        <v>87799.755407529301</v>
      </c>
    </row>
    <row r="196" spans="1:7" x14ac:dyDescent="0.25">
      <c r="A196">
        <v>193</v>
      </c>
      <c r="B196" s="4">
        <f>-PPMT('Owner Occupier'!$D$41/12,'FHA Amotization'!$A196,360,'Owner Occupier'!$D$40,0,0)</f>
        <v>1326.2719546069468</v>
      </c>
      <c r="C196" s="4">
        <f>-IPMT('Owner Occupier'!$D$41/12,'FHA Amotization'!$A196,360,'Owner Occupier'!$D$40,0,0)</f>
        <v>1075.7738673455744</v>
      </c>
      <c r="D196" s="4">
        <f t="shared" si="6"/>
        <v>2402.0458219525212</v>
      </c>
      <c r="E196" s="3">
        <f t="shared" si="7"/>
        <v>302421.64353120251</v>
      </c>
      <c r="F196" s="4">
        <f>('Owner Occupier'!$H$24-'Owner Occupier'!$D$52)/('Owner Occupier'!$D$56-'Owner Occupier'!$D$52)*B196</f>
        <v>631.03461201776361</v>
      </c>
      <c r="G196" s="4">
        <f t="shared" si="8"/>
        <v>88430.790019547057</v>
      </c>
    </row>
    <row r="197" spans="1:7" x14ac:dyDescent="0.25">
      <c r="A197">
        <v>194</v>
      </c>
      <c r="B197" s="4">
        <f>-PPMT('Owner Occupier'!$D$41/12,'FHA Amotization'!$A197,360,'Owner Occupier'!$D$40,0,0)</f>
        <v>1330.9691677795133</v>
      </c>
      <c r="C197" s="4">
        <f>-IPMT('Owner Occupier'!$D$41/12,'FHA Amotization'!$A197,360,'Owner Occupier'!$D$40,0,0)</f>
        <v>1071.0766541730084</v>
      </c>
      <c r="D197" s="4">
        <f t="shared" ref="D197:D260" si="9">B197+C197</f>
        <v>2402.0458219525217</v>
      </c>
      <c r="E197" s="3">
        <f t="shared" si="7"/>
        <v>301090.67436342302</v>
      </c>
      <c r="F197" s="4">
        <f>('Owner Occupier'!$H$24-'Owner Occupier'!$D$52)/('Owner Occupier'!$D$56-'Owner Occupier'!$D$52)*B197</f>
        <v>633.26952626866</v>
      </c>
      <c r="G197" s="4">
        <f t="shared" si="8"/>
        <v>89064.059545815719</v>
      </c>
    </row>
    <row r="198" spans="1:7" x14ac:dyDescent="0.25">
      <c r="A198">
        <v>195</v>
      </c>
      <c r="B198" s="4">
        <f>-PPMT('Owner Occupier'!$D$41/12,'FHA Amotization'!$A198,360,'Owner Occupier'!$D$40,0,0)</f>
        <v>1335.6830169153989</v>
      </c>
      <c r="C198" s="4">
        <f>-IPMT('Owner Occupier'!$D$41/12,'FHA Amotization'!$A198,360,'Owner Occupier'!$D$40,0,0)</f>
        <v>1066.3628050371221</v>
      </c>
      <c r="D198" s="4">
        <f t="shared" si="9"/>
        <v>2402.0458219525208</v>
      </c>
      <c r="E198" s="3">
        <f t="shared" ref="E198:E261" si="10">E197-B198</f>
        <v>299754.99134650762</v>
      </c>
      <c r="F198" s="4">
        <f>('Owner Occupier'!$H$24-'Owner Occupier'!$D$52)/('Owner Occupier'!$D$56-'Owner Occupier'!$D$52)*B198</f>
        <v>635.51235584086146</v>
      </c>
      <c r="G198" s="4">
        <f t="shared" ref="G198:G261" si="11">F198+G197</f>
        <v>89699.571901656585</v>
      </c>
    </row>
    <row r="199" spans="1:7" x14ac:dyDescent="0.25">
      <c r="A199">
        <v>196</v>
      </c>
      <c r="B199" s="4">
        <f>-PPMT('Owner Occupier'!$D$41/12,'FHA Amotization'!$A199,360,'Owner Occupier'!$D$40,0,0)</f>
        <v>1340.4135609336411</v>
      </c>
      <c r="C199" s="4">
        <f>-IPMT('Owner Occupier'!$D$41/12,'FHA Amotization'!$A199,360,'Owner Occupier'!$D$40,0,0)</f>
        <v>1061.6322610188804</v>
      </c>
      <c r="D199" s="4">
        <f t="shared" si="9"/>
        <v>2402.0458219525217</v>
      </c>
      <c r="E199" s="3">
        <f t="shared" si="10"/>
        <v>298414.57778557396</v>
      </c>
      <c r="F199" s="4">
        <f>('Owner Occupier'!$H$24-'Owner Occupier'!$D$52)/('Owner Occupier'!$D$56-'Owner Occupier'!$D$52)*B199</f>
        <v>637.76312876779787</v>
      </c>
      <c r="G199" s="4">
        <f t="shared" si="11"/>
        <v>90337.33503042438</v>
      </c>
    </row>
    <row r="200" spans="1:7" x14ac:dyDescent="0.25">
      <c r="A200">
        <v>197</v>
      </c>
      <c r="B200" s="4">
        <f>-PPMT('Owner Occupier'!$D$41/12,'FHA Amotization'!$A200,360,'Owner Occupier'!$D$40,0,0)</f>
        <v>1345.1608589619477</v>
      </c>
      <c r="C200" s="4">
        <f>-IPMT('Owner Occupier'!$D$41/12,'FHA Amotization'!$A200,360,'Owner Occupier'!$D$40,0,0)</f>
        <v>1056.8849629905737</v>
      </c>
      <c r="D200" s="4">
        <f t="shared" si="9"/>
        <v>2402.0458219525217</v>
      </c>
      <c r="E200" s="3">
        <f t="shared" si="10"/>
        <v>297069.41692661203</v>
      </c>
      <c r="F200" s="4">
        <f>('Owner Occupier'!$H$24-'Owner Occupier'!$D$52)/('Owner Occupier'!$D$56-'Owner Occupier'!$D$52)*B200</f>
        <v>640.02187318218387</v>
      </c>
      <c r="G200" s="4">
        <f t="shared" si="11"/>
        <v>90977.35690360656</v>
      </c>
    </row>
    <row r="201" spans="1:7" x14ac:dyDescent="0.25">
      <c r="A201">
        <v>198</v>
      </c>
      <c r="B201" s="4">
        <f>-PPMT('Owner Occupier'!$D$41/12,'FHA Amotization'!$A201,360,'Owner Occupier'!$D$40,0,0)</f>
        <v>1349.9249703374378</v>
      </c>
      <c r="C201" s="4">
        <f>-IPMT('Owner Occupier'!$D$41/12,'FHA Amotization'!$A201,360,'Owner Occupier'!$D$40,0,0)</f>
        <v>1052.1208516150834</v>
      </c>
      <c r="D201" s="4">
        <f t="shared" si="9"/>
        <v>2402.0458219525212</v>
      </c>
      <c r="E201" s="3">
        <f t="shared" si="10"/>
        <v>295719.49195627461</v>
      </c>
      <c r="F201" s="4">
        <f>('Owner Occupier'!$H$24-'Owner Occupier'!$D$52)/('Owner Occupier'!$D$56-'Owner Occupier'!$D$52)*B201</f>
        <v>642.28861731637062</v>
      </c>
      <c r="G201" s="4">
        <f t="shared" si="11"/>
        <v>91619.645520922932</v>
      </c>
    </row>
    <row r="202" spans="1:7" x14ac:dyDescent="0.25">
      <c r="A202">
        <v>199</v>
      </c>
      <c r="B202" s="4">
        <f>-PPMT('Owner Occupier'!$D$41/12,'FHA Amotization'!$A202,360,'Owner Occupier'!$D$40,0,0)</f>
        <v>1354.7059546073829</v>
      </c>
      <c r="C202" s="4">
        <f>-IPMT('Owner Occupier'!$D$41/12,'FHA Amotization'!$A202,360,'Owner Occupier'!$D$40,0,0)</f>
        <v>1047.3398673451384</v>
      </c>
      <c r="D202" s="4">
        <f t="shared" si="9"/>
        <v>2402.0458219525212</v>
      </c>
      <c r="E202" s="3">
        <f t="shared" si="10"/>
        <v>294364.78600166721</v>
      </c>
      <c r="F202" s="4">
        <f>('Owner Occupier'!$H$24-'Owner Occupier'!$D$52)/('Owner Occupier'!$D$56-'Owner Occupier'!$D$52)*B202</f>
        <v>644.56338950269947</v>
      </c>
      <c r="G202" s="4">
        <f t="shared" si="11"/>
        <v>92264.20891042563</v>
      </c>
    </row>
    <row r="203" spans="1:7" x14ac:dyDescent="0.25">
      <c r="A203">
        <v>200</v>
      </c>
      <c r="B203" s="4">
        <f>-PPMT('Owner Occupier'!$D$41/12,'FHA Amotization'!$A203,360,'Owner Occupier'!$D$40,0,0)</f>
        <v>1359.5038715299509</v>
      </c>
      <c r="C203" s="4">
        <f>-IPMT('Owner Occupier'!$D$41/12,'FHA Amotization'!$A203,360,'Owner Occupier'!$D$40,0,0)</f>
        <v>1042.5419504225706</v>
      </c>
      <c r="D203" s="4">
        <f t="shared" si="9"/>
        <v>2402.0458219525217</v>
      </c>
      <c r="E203" s="3">
        <f t="shared" si="10"/>
        <v>293005.28213013726</v>
      </c>
      <c r="F203" s="4">
        <f>('Owner Occupier'!$H$24-'Owner Occupier'!$D$52)/('Owner Occupier'!$D$56-'Owner Occupier'!$D$52)*B203</f>
        <v>646.84621817385494</v>
      </c>
      <c r="G203" s="4">
        <f t="shared" si="11"/>
        <v>92911.055128599488</v>
      </c>
    </row>
    <row r="204" spans="1:7" x14ac:dyDescent="0.25">
      <c r="A204">
        <v>201</v>
      </c>
      <c r="B204" s="4">
        <f>-PPMT('Owner Occupier'!$D$41/12,'FHA Amotization'!$A204,360,'Owner Occupier'!$D$40,0,0)</f>
        <v>1364.318781074953</v>
      </c>
      <c r="C204" s="4">
        <f>-IPMT('Owner Occupier'!$D$41/12,'FHA Amotization'!$A204,360,'Owner Occupier'!$D$40,0,0)</f>
        <v>1037.7270408775689</v>
      </c>
      <c r="D204" s="4">
        <f t="shared" si="9"/>
        <v>2402.0458219525217</v>
      </c>
      <c r="E204" s="3">
        <f t="shared" si="10"/>
        <v>291640.96334906231</v>
      </c>
      <c r="F204" s="4">
        <f>('Owner Occupier'!$H$24-'Owner Occupier'!$D$52)/('Owner Occupier'!$D$56-'Owner Occupier'!$D$52)*B204</f>
        <v>649.13713186322082</v>
      </c>
      <c r="G204" s="4">
        <f t="shared" si="11"/>
        <v>93560.192260462703</v>
      </c>
    </row>
    <row r="205" spans="1:7" x14ac:dyDescent="0.25">
      <c r="A205">
        <v>202</v>
      </c>
      <c r="B205" s="4">
        <f>-PPMT('Owner Occupier'!$D$41/12,'FHA Amotization'!$A205,360,'Owner Occupier'!$D$40,0,0)</f>
        <v>1369.1507434245932</v>
      </c>
      <c r="C205" s="4">
        <f>-IPMT('Owner Occupier'!$D$41/12,'FHA Amotization'!$A205,360,'Owner Occupier'!$D$40,0,0)</f>
        <v>1032.8950785279283</v>
      </c>
      <c r="D205" s="4">
        <f t="shared" si="9"/>
        <v>2402.0458219525217</v>
      </c>
      <c r="E205" s="3">
        <f t="shared" si="10"/>
        <v>290271.81260563771</v>
      </c>
      <c r="F205" s="4">
        <f>('Owner Occupier'!$H$24-'Owner Occupier'!$D$52)/('Owner Occupier'!$D$56-'Owner Occupier'!$D$52)*B205</f>
        <v>651.43615920523621</v>
      </c>
      <c r="G205" s="4">
        <f t="shared" si="11"/>
        <v>94211.628419667933</v>
      </c>
    </row>
    <row r="206" spans="1:7" x14ac:dyDescent="0.25">
      <c r="A206">
        <v>203</v>
      </c>
      <c r="B206" s="4">
        <f>-PPMT('Owner Occupier'!$D$41/12,'FHA Amotization'!$A206,360,'Owner Occupier'!$D$40,0,0)</f>
        <v>1373.9998189742219</v>
      </c>
      <c r="C206" s="4">
        <f>-IPMT('Owner Occupier'!$D$41/12,'FHA Amotization'!$A206,360,'Owner Occupier'!$D$40,0,0)</f>
        <v>1028.0460029782994</v>
      </c>
      <c r="D206" s="4">
        <f t="shared" si="9"/>
        <v>2402.0458219525212</v>
      </c>
      <c r="E206" s="3">
        <f t="shared" si="10"/>
        <v>288897.81278666347</v>
      </c>
      <c r="F206" s="4">
        <f>('Owner Occupier'!$H$24-'Owner Occupier'!$D$52)/('Owner Occupier'!$D$56-'Owner Occupier'!$D$52)*B206</f>
        <v>653.74332893575479</v>
      </c>
      <c r="G206" s="4">
        <f t="shared" si="11"/>
        <v>94865.371748603691</v>
      </c>
    </row>
    <row r="207" spans="1:7" x14ac:dyDescent="0.25">
      <c r="A207">
        <v>204</v>
      </c>
      <c r="B207" s="4">
        <f>-PPMT('Owner Occupier'!$D$41/12,'FHA Amotization'!$A207,360,'Owner Occupier'!$D$40,0,0)</f>
        <v>1378.8660683330891</v>
      </c>
      <c r="C207" s="4">
        <f>-IPMT('Owner Occupier'!$D$41/12,'FHA Amotization'!$A207,360,'Owner Occupier'!$D$40,0,0)</f>
        <v>1023.1797536194324</v>
      </c>
      <c r="D207" s="4">
        <f t="shared" si="9"/>
        <v>2402.0458219525217</v>
      </c>
      <c r="E207" s="3">
        <f t="shared" si="10"/>
        <v>287518.94671833038</v>
      </c>
      <c r="F207" s="4">
        <f>('Owner Occupier'!$H$24-'Owner Occupier'!$D$52)/('Owner Occupier'!$D$56-'Owner Occupier'!$D$52)*B207</f>
        <v>656.05866989240224</v>
      </c>
      <c r="G207" s="4">
        <f t="shared" si="11"/>
        <v>95521.430418496093</v>
      </c>
    </row>
    <row r="208" spans="1:7" x14ac:dyDescent="0.25">
      <c r="A208">
        <v>205</v>
      </c>
      <c r="B208" s="4">
        <f>-PPMT('Owner Occupier'!$D$41/12,'FHA Amotization'!$A208,360,'Owner Occupier'!$D$40,0,0)</f>
        <v>1383.7495523251021</v>
      </c>
      <c r="C208" s="4">
        <f>-IPMT('Owner Occupier'!$D$41/12,'FHA Amotization'!$A208,360,'Owner Occupier'!$D$40,0,0)</f>
        <v>1018.2962696274193</v>
      </c>
      <c r="D208" s="4">
        <f t="shared" si="9"/>
        <v>2402.0458219525212</v>
      </c>
      <c r="E208" s="3">
        <f t="shared" si="10"/>
        <v>286135.19716600527</v>
      </c>
      <c r="F208" s="4">
        <f>('Owner Occupier'!$H$24-'Owner Occupier'!$D$52)/('Owner Occupier'!$D$56-'Owner Occupier'!$D$52)*B208</f>
        <v>658.38221101493787</v>
      </c>
      <c r="G208" s="4">
        <f t="shared" si="11"/>
        <v>96179.812629511027</v>
      </c>
    </row>
    <row r="209" spans="1:7" x14ac:dyDescent="0.25">
      <c r="A209">
        <v>206</v>
      </c>
      <c r="B209" s="4">
        <f>-PPMT('Owner Occupier'!$D$41/12,'FHA Amotization'!$A209,360,'Owner Occupier'!$D$40,0,0)</f>
        <v>1388.6503319895867</v>
      </c>
      <c r="C209" s="4">
        <f>-IPMT('Owner Occupier'!$D$41/12,'FHA Amotization'!$A209,360,'Owner Occupier'!$D$40,0,0)</f>
        <v>1013.3954899629348</v>
      </c>
      <c r="D209" s="4">
        <f t="shared" si="9"/>
        <v>2402.0458219525217</v>
      </c>
      <c r="E209" s="3">
        <f t="shared" si="10"/>
        <v>284746.54683401569</v>
      </c>
      <c r="F209" s="4">
        <f>('Owner Occupier'!$H$24-'Owner Occupier'!$D$52)/('Owner Occupier'!$D$56-'Owner Occupier'!$D$52)*B209</f>
        <v>660.71398134561571</v>
      </c>
      <c r="G209" s="4">
        <f t="shared" si="11"/>
        <v>96840.526610856643</v>
      </c>
    </row>
    <row r="210" spans="1:7" x14ac:dyDescent="0.25">
      <c r="A210">
        <v>207</v>
      </c>
      <c r="B210" s="4">
        <f>-PPMT('Owner Occupier'!$D$41/12,'FHA Amotization'!$A210,360,'Owner Occupier'!$D$40,0,0)</f>
        <v>1393.5684685820499</v>
      </c>
      <c r="C210" s="4">
        <f>-IPMT('Owner Occupier'!$D$41/12,'FHA Amotization'!$A210,360,'Owner Occupier'!$D$40,0,0)</f>
        <v>1008.4773533704715</v>
      </c>
      <c r="D210" s="4">
        <f t="shared" si="9"/>
        <v>2402.0458219525217</v>
      </c>
      <c r="E210" s="3">
        <f t="shared" si="10"/>
        <v>283352.97836543364</v>
      </c>
      <c r="F210" s="4">
        <f>('Owner Occupier'!$H$24-'Owner Occupier'!$D$52)/('Owner Occupier'!$D$56-'Owner Occupier'!$D$52)*B210</f>
        <v>663.05401002954818</v>
      </c>
      <c r="G210" s="4">
        <f t="shared" si="11"/>
        <v>97503.58062088619</v>
      </c>
    </row>
    <row r="211" spans="1:7" x14ac:dyDescent="0.25">
      <c r="A211">
        <v>208</v>
      </c>
      <c r="B211" s="4">
        <f>-PPMT('Owner Occupier'!$D$41/12,'FHA Amotization'!$A211,360,'Owner Occupier'!$D$40,0,0)</f>
        <v>1398.5040235749445</v>
      </c>
      <c r="C211" s="4">
        <f>-IPMT('Owner Occupier'!$D$41/12,'FHA Amotization'!$A211,360,'Owner Occupier'!$D$40,0,0)</f>
        <v>1003.5417983775769</v>
      </c>
      <c r="D211" s="4">
        <f t="shared" si="9"/>
        <v>2402.0458219525217</v>
      </c>
      <c r="E211" s="3">
        <f t="shared" si="10"/>
        <v>281954.4743418587</v>
      </c>
      <c r="F211" s="4">
        <f>('Owner Occupier'!$H$24-'Owner Occupier'!$D$52)/('Owner Occupier'!$D$56-'Owner Occupier'!$D$52)*B211</f>
        <v>665.40232631506944</v>
      </c>
      <c r="G211" s="4">
        <f t="shared" si="11"/>
        <v>98168.982947201264</v>
      </c>
    </row>
    <row r="212" spans="1:7" x14ac:dyDescent="0.25">
      <c r="A212">
        <v>209</v>
      </c>
      <c r="B212" s="4">
        <f>-PPMT('Owner Occupier'!$D$41/12,'FHA Amotization'!$A212,360,'Owner Occupier'!$D$40,0,0)</f>
        <v>1403.4570586584391</v>
      </c>
      <c r="C212" s="4">
        <f>-IPMT('Owner Occupier'!$D$41/12,'FHA Amotization'!$A212,360,'Owner Occupier'!$D$40,0,0)</f>
        <v>998.58876329408213</v>
      </c>
      <c r="D212" s="4">
        <f t="shared" si="9"/>
        <v>2402.0458219525212</v>
      </c>
      <c r="E212" s="3">
        <f t="shared" si="10"/>
        <v>280551.01728320029</v>
      </c>
      <c r="F212" s="4">
        <f>('Owner Occupier'!$H$24-'Owner Occupier'!$D$52)/('Owner Occupier'!$D$56-'Owner Occupier'!$D$52)*B212</f>
        <v>667.75895955410192</v>
      </c>
      <c r="G212" s="4">
        <f t="shared" si="11"/>
        <v>98836.741906755371</v>
      </c>
    </row>
    <row r="213" spans="1:7" x14ac:dyDescent="0.25">
      <c r="A213">
        <v>210</v>
      </c>
      <c r="B213" s="4">
        <f>-PPMT('Owner Occupier'!$D$41/12,'FHA Amotization'!$A213,360,'Owner Occupier'!$D$40,0,0)</f>
        <v>1408.4276357411877</v>
      </c>
      <c r="C213" s="4">
        <f>-IPMT('Owner Occupier'!$D$41/12,'FHA Amotization'!$A213,360,'Owner Occupier'!$D$40,0,0)</f>
        <v>993.61818621133364</v>
      </c>
      <c r="D213" s="4">
        <f t="shared" si="9"/>
        <v>2402.0458219525212</v>
      </c>
      <c r="E213" s="3">
        <f t="shared" si="10"/>
        <v>279142.5896474591</v>
      </c>
      <c r="F213" s="4">
        <f>('Owner Occupier'!$H$24-'Owner Occupier'!$D$52)/('Owner Occupier'!$D$56-'Owner Occupier'!$D$52)*B213</f>
        <v>670.12393920252271</v>
      </c>
      <c r="G213" s="4">
        <f t="shared" si="11"/>
        <v>99506.865845957887</v>
      </c>
    </row>
    <row r="214" spans="1:7" x14ac:dyDescent="0.25">
      <c r="A214">
        <v>211</v>
      </c>
      <c r="B214" s="4">
        <f>-PPMT('Owner Occupier'!$D$41/12,'FHA Amotization'!$A214,360,'Owner Occupier'!$D$40,0,0)</f>
        <v>1413.4158169511043</v>
      </c>
      <c r="C214" s="4">
        <f>-IPMT('Owner Occupier'!$D$41/12,'FHA Amotization'!$A214,360,'Owner Occupier'!$D$40,0,0)</f>
        <v>988.63000500141663</v>
      </c>
      <c r="D214" s="4">
        <f t="shared" si="9"/>
        <v>2402.0458219525208</v>
      </c>
      <c r="E214" s="3">
        <f t="shared" si="10"/>
        <v>277729.17383050802</v>
      </c>
      <c r="F214" s="4">
        <f>('Owner Occupier'!$H$24-'Owner Occupier'!$D$52)/('Owner Occupier'!$D$56-'Owner Occupier'!$D$52)*B214</f>
        <v>672.49729482053158</v>
      </c>
      <c r="G214" s="4">
        <f t="shared" si="11"/>
        <v>100179.36314077841</v>
      </c>
    </row>
    <row r="215" spans="1:7" x14ac:dyDescent="0.25">
      <c r="A215">
        <v>212</v>
      </c>
      <c r="B215" s="4">
        <f>-PPMT('Owner Occupier'!$D$41/12,'FHA Amotization'!$A215,360,'Owner Occupier'!$D$40,0,0)</f>
        <v>1418.4216646361397</v>
      </c>
      <c r="C215" s="4">
        <f>-IPMT('Owner Occupier'!$D$41/12,'FHA Amotization'!$A215,360,'Owner Occupier'!$D$40,0,0)</f>
        <v>983.6241573163818</v>
      </c>
      <c r="D215" s="4">
        <f t="shared" si="9"/>
        <v>2402.0458219525217</v>
      </c>
      <c r="E215" s="3">
        <f t="shared" si="10"/>
        <v>276310.75216587191</v>
      </c>
      <c r="F215" s="4">
        <f>('Owner Occupier'!$H$24-'Owner Occupier'!$D$52)/('Owner Occupier'!$D$56-'Owner Occupier'!$D$52)*B215</f>
        <v>674.87905607302105</v>
      </c>
      <c r="G215" s="4">
        <f t="shared" si="11"/>
        <v>100854.24219685144</v>
      </c>
    </row>
    <row r="216" spans="1:7" x14ac:dyDescent="0.25">
      <c r="A216">
        <v>213</v>
      </c>
      <c r="B216" s="4">
        <f>-PPMT('Owner Occupier'!$D$41/12,'FHA Amotization'!$A216,360,'Owner Occupier'!$D$40,0,0)</f>
        <v>1423.4452413650592</v>
      </c>
      <c r="C216" s="4">
        <f>-IPMT('Owner Occupier'!$D$41/12,'FHA Amotization'!$A216,360,'Owner Occupier'!$D$40,0,0)</f>
        <v>978.60058058746188</v>
      </c>
      <c r="D216" s="4">
        <f t="shared" si="9"/>
        <v>2402.0458219525212</v>
      </c>
      <c r="E216" s="3">
        <f t="shared" si="10"/>
        <v>274887.30692450685</v>
      </c>
      <c r="F216" s="4">
        <f>('Owner Occupier'!$H$24-'Owner Occupier'!$D$52)/('Owner Occupier'!$D$56-'Owner Occupier'!$D$52)*B216</f>
        <v>677.26925272994629</v>
      </c>
      <c r="G216" s="4">
        <f t="shared" si="11"/>
        <v>101531.51144958139</v>
      </c>
    </row>
    <row r="217" spans="1:7" x14ac:dyDescent="0.25">
      <c r="A217">
        <v>214</v>
      </c>
      <c r="B217" s="4">
        <f>-PPMT('Owner Occupier'!$D$41/12,'FHA Amotization'!$A217,360,'Owner Occupier'!$D$40,0,0)</f>
        <v>1428.4866099282274</v>
      </c>
      <c r="C217" s="4">
        <f>-IPMT('Owner Occupier'!$D$41/12,'FHA Amotization'!$A217,360,'Owner Occupier'!$D$40,0,0)</f>
        <v>973.55921202429397</v>
      </c>
      <c r="D217" s="4">
        <f t="shared" si="9"/>
        <v>2402.0458219525212</v>
      </c>
      <c r="E217" s="3">
        <f t="shared" si="10"/>
        <v>273458.8203145786</v>
      </c>
      <c r="F217" s="4">
        <f>('Owner Occupier'!$H$24-'Owner Occupier'!$D$52)/('Owner Occupier'!$D$56-'Owner Occupier'!$D$52)*B217</f>
        <v>679.66791466669827</v>
      </c>
      <c r="G217" s="4">
        <f t="shared" si="11"/>
        <v>102211.17936424809</v>
      </c>
    </row>
    <row r="218" spans="1:7" x14ac:dyDescent="0.25">
      <c r="A218">
        <v>215</v>
      </c>
      <c r="B218" s="4">
        <f>-PPMT('Owner Occupier'!$D$41/12,'FHA Amotization'!$A218,360,'Owner Occupier'!$D$40,0,0)</f>
        <v>1433.5458333383897</v>
      </c>
      <c r="C218" s="4">
        <f>-IPMT('Owner Occupier'!$D$41/12,'FHA Amotization'!$A218,360,'Owner Occupier'!$D$40,0,0)</f>
        <v>968.49998861413178</v>
      </c>
      <c r="D218" s="4">
        <f t="shared" si="9"/>
        <v>2402.0458219525217</v>
      </c>
      <c r="E218" s="3">
        <f t="shared" si="10"/>
        <v>272025.27448124019</v>
      </c>
      <c r="F218" s="4">
        <f>('Owner Occupier'!$H$24-'Owner Occupier'!$D$52)/('Owner Occupier'!$D$56-'Owner Occupier'!$D$52)*B218</f>
        <v>682.07507186447606</v>
      </c>
      <c r="G218" s="4">
        <f t="shared" si="11"/>
        <v>102893.25443611256</v>
      </c>
    </row>
    <row r="219" spans="1:7" x14ac:dyDescent="0.25">
      <c r="A219">
        <v>216</v>
      </c>
      <c r="B219" s="4">
        <f>-PPMT('Owner Occupier'!$D$41/12,'FHA Amotization'!$A219,360,'Owner Occupier'!$D$40,0,0)</f>
        <v>1438.6229748314631</v>
      </c>
      <c r="C219" s="4">
        <f>-IPMT('Owner Occupier'!$D$41/12,'FHA Amotization'!$A219,360,'Owner Occupier'!$D$40,0,0)</f>
        <v>963.42284712105823</v>
      </c>
      <c r="D219" s="4">
        <f t="shared" si="9"/>
        <v>2402.0458219525212</v>
      </c>
      <c r="E219" s="3">
        <f t="shared" si="10"/>
        <v>270586.65150640876</v>
      </c>
      <c r="F219" s="4">
        <f>('Owner Occupier'!$H$24-'Owner Occupier'!$D$52)/('Owner Occupier'!$D$56-'Owner Occupier'!$D$52)*B219</f>
        <v>684.49075441066282</v>
      </c>
      <c r="G219" s="4">
        <f t="shared" si="11"/>
        <v>103577.74519052323</v>
      </c>
    </row>
    <row r="220" spans="1:7" x14ac:dyDescent="0.25">
      <c r="A220">
        <v>217</v>
      </c>
      <c r="B220" s="4">
        <f>-PPMT('Owner Occupier'!$D$41/12,'FHA Amotization'!$A220,360,'Owner Occupier'!$D$40,0,0)</f>
        <v>1443.7180978673246</v>
      </c>
      <c r="C220" s="4">
        <f>-IPMT('Owner Occupier'!$D$41/12,'FHA Amotization'!$A220,360,'Owner Occupier'!$D$40,0,0)</f>
        <v>958.32772408519656</v>
      </c>
      <c r="D220" s="4">
        <f t="shared" si="9"/>
        <v>2402.0458219525212</v>
      </c>
      <c r="E220" s="3">
        <f t="shared" si="10"/>
        <v>269142.93340854143</v>
      </c>
      <c r="F220" s="4">
        <f>('Owner Occupier'!$H$24-'Owner Occupier'!$D$52)/('Owner Occupier'!$D$56-'Owner Occupier'!$D$52)*B220</f>
        <v>686.91499249920059</v>
      </c>
      <c r="G220" s="4">
        <f t="shared" si="11"/>
        <v>104264.66018302242</v>
      </c>
    </row>
    <row r="221" spans="1:7" x14ac:dyDescent="0.25">
      <c r="A221">
        <v>218</v>
      </c>
      <c r="B221" s="4">
        <f>-PPMT('Owner Occupier'!$D$41/12,'FHA Amotization'!$A221,360,'Owner Occupier'!$D$40,0,0)</f>
        <v>1448.8312661306045</v>
      </c>
      <c r="C221" s="4">
        <f>-IPMT('Owner Occupier'!$D$41/12,'FHA Amotization'!$A221,360,'Owner Occupier'!$D$40,0,0)</f>
        <v>953.21455582191641</v>
      </c>
      <c r="D221" s="4">
        <f t="shared" si="9"/>
        <v>2402.0458219525208</v>
      </c>
      <c r="E221" s="3">
        <f t="shared" si="10"/>
        <v>267694.10214241082</v>
      </c>
      <c r="F221" s="4">
        <f>('Owner Occupier'!$H$24-'Owner Occupier'!$D$52)/('Owner Occupier'!$D$56-'Owner Occupier'!$D$52)*B221</f>
        <v>689.34781643096846</v>
      </c>
      <c r="G221" s="4">
        <f t="shared" si="11"/>
        <v>104954.00799945339</v>
      </c>
    </row>
    <row r="222" spans="1:7" x14ac:dyDescent="0.25">
      <c r="A222">
        <v>219</v>
      </c>
      <c r="B222" s="4">
        <f>-PPMT('Owner Occupier'!$D$41/12,'FHA Amotization'!$A222,360,'Owner Occupier'!$D$40,0,0)</f>
        <v>1453.9625435314838</v>
      </c>
      <c r="C222" s="4">
        <f>-IPMT('Owner Occupier'!$D$41/12,'FHA Amotization'!$A222,360,'Owner Occupier'!$D$40,0,0)</f>
        <v>948.08327842103756</v>
      </c>
      <c r="D222" s="4">
        <f t="shared" si="9"/>
        <v>2402.0458219525212</v>
      </c>
      <c r="E222" s="3">
        <f t="shared" si="10"/>
        <v>266240.13959887932</v>
      </c>
      <c r="F222" s="4">
        <f>('Owner Occupier'!$H$24-'Owner Occupier'!$D$52)/('Owner Occupier'!$D$56-'Owner Occupier'!$D$52)*B222</f>
        <v>691.78925661416156</v>
      </c>
      <c r="G222" s="4">
        <f t="shared" si="11"/>
        <v>105645.79725606756</v>
      </c>
    </row>
    <row r="223" spans="1:7" x14ac:dyDescent="0.25">
      <c r="A223">
        <v>220</v>
      </c>
      <c r="B223" s="4">
        <f>-PPMT('Owner Occupier'!$D$41/12,'FHA Amotization'!$A223,360,'Owner Occupier'!$D$40,0,0)</f>
        <v>1459.1119942064913</v>
      </c>
      <c r="C223" s="4">
        <f>-IPMT('Owner Occupier'!$D$41/12,'FHA Amotization'!$A223,360,'Owner Occupier'!$D$40,0,0)</f>
        <v>942.93382774602992</v>
      </c>
      <c r="D223" s="4">
        <f t="shared" si="9"/>
        <v>2402.0458219525212</v>
      </c>
      <c r="E223" s="3">
        <f t="shared" si="10"/>
        <v>264781.02760467282</v>
      </c>
      <c r="F223" s="4">
        <f>('Owner Occupier'!$H$24-'Owner Occupier'!$D$52)/('Owner Occupier'!$D$56-'Owner Occupier'!$D$52)*B223</f>
        <v>694.23934356467009</v>
      </c>
      <c r="G223" s="4">
        <f t="shared" si="11"/>
        <v>106340.03659963222</v>
      </c>
    </row>
    <row r="224" spans="1:7" x14ac:dyDescent="0.25">
      <c r="A224">
        <v>221</v>
      </c>
      <c r="B224" s="4">
        <f>-PPMT('Owner Occupier'!$D$41/12,'FHA Amotization'!$A224,360,'Owner Occupier'!$D$40,0,0)</f>
        <v>1464.2796825193059</v>
      </c>
      <c r="C224" s="4">
        <f>-IPMT('Owner Occupier'!$D$41/12,'FHA Amotization'!$A224,360,'Owner Occupier'!$D$40,0,0)</f>
        <v>937.76613943321524</v>
      </c>
      <c r="D224" s="4">
        <f t="shared" si="9"/>
        <v>2402.0458219525212</v>
      </c>
      <c r="E224" s="3">
        <f t="shared" si="10"/>
        <v>263316.7479221535</v>
      </c>
      <c r="F224" s="4">
        <f>('Owner Occupier'!$H$24-'Owner Occupier'!$D$52)/('Owner Occupier'!$D$56-'Owner Occupier'!$D$52)*B224</f>
        <v>696.69810790646159</v>
      </c>
      <c r="G224" s="4">
        <f t="shared" si="11"/>
        <v>107036.73470753868</v>
      </c>
    </row>
    <row r="225" spans="1:7" x14ac:dyDescent="0.25">
      <c r="A225">
        <v>222</v>
      </c>
      <c r="B225" s="4">
        <f>-PPMT('Owner Occupier'!$D$41/12,'FHA Amotization'!$A225,360,'Owner Occupier'!$D$40,0,0)</f>
        <v>1469.4656730615618</v>
      </c>
      <c r="C225" s="4">
        <f>-IPMT('Owner Occupier'!$D$41/12,'FHA Amotization'!$A225,360,'Owner Occupier'!$D$40,0,0)</f>
        <v>932.58014889095955</v>
      </c>
      <c r="D225" s="4">
        <f t="shared" si="9"/>
        <v>2402.0458219525212</v>
      </c>
      <c r="E225" s="3">
        <f t="shared" si="10"/>
        <v>261847.28224909195</v>
      </c>
      <c r="F225" s="4">
        <f>('Owner Occupier'!$H$24-'Owner Occupier'!$D$52)/('Owner Occupier'!$D$56-'Owner Occupier'!$D$52)*B225</f>
        <v>699.16558037196364</v>
      </c>
      <c r="G225" s="4">
        <f t="shared" si="11"/>
        <v>107735.90028791064</v>
      </c>
    </row>
    <row r="226" spans="1:7" x14ac:dyDescent="0.25">
      <c r="A226">
        <v>223</v>
      </c>
      <c r="B226" s="4">
        <f>-PPMT('Owner Occupier'!$D$41/12,'FHA Amotization'!$A226,360,'Owner Occupier'!$D$40,0,0)</f>
        <v>1474.670030653655</v>
      </c>
      <c r="C226" s="4">
        <f>-IPMT('Owner Occupier'!$D$41/12,'FHA Amotization'!$A226,360,'Owner Occupier'!$D$40,0,0)</f>
        <v>927.37579129886649</v>
      </c>
      <c r="D226" s="4">
        <f t="shared" si="9"/>
        <v>2402.0458219525217</v>
      </c>
      <c r="E226" s="3">
        <f t="shared" si="10"/>
        <v>260372.6122184383</v>
      </c>
      <c r="F226" s="4">
        <f>('Owner Occupier'!$H$24-'Owner Occupier'!$D$52)/('Owner Occupier'!$D$56-'Owner Occupier'!$D$52)*B226</f>
        <v>701.64179180244776</v>
      </c>
      <c r="G226" s="4">
        <f t="shared" si="11"/>
        <v>108437.54207971309</v>
      </c>
    </row>
    <row r="227" spans="1:7" x14ac:dyDescent="0.25">
      <c r="A227">
        <v>224</v>
      </c>
      <c r="B227" s="4">
        <f>-PPMT('Owner Occupier'!$D$41/12,'FHA Amotization'!$A227,360,'Owner Occupier'!$D$40,0,0)</f>
        <v>1479.8928203455534</v>
      </c>
      <c r="C227" s="4">
        <f>-IPMT('Owner Occupier'!$D$41/12,'FHA Amotization'!$A227,360,'Owner Occupier'!$D$40,0,0)</f>
        <v>922.15300160696813</v>
      </c>
      <c r="D227" s="4">
        <f t="shared" si="9"/>
        <v>2402.0458219525217</v>
      </c>
      <c r="E227" s="3">
        <f t="shared" si="10"/>
        <v>258892.71939809274</v>
      </c>
      <c r="F227" s="4">
        <f>('Owner Occupier'!$H$24-'Owner Occupier'!$D$52)/('Owner Occupier'!$D$56-'Owner Occupier'!$D$52)*B227</f>
        <v>704.12677314841483</v>
      </c>
      <c r="G227" s="4">
        <f t="shared" si="11"/>
        <v>109141.66885286151</v>
      </c>
    </row>
    <row r="228" spans="1:7" x14ac:dyDescent="0.25">
      <c r="A228">
        <v>225</v>
      </c>
      <c r="B228" s="4">
        <f>-PPMT('Owner Occupier'!$D$41/12,'FHA Amotization'!$A228,360,'Owner Occupier'!$D$40,0,0)</f>
        <v>1485.1341074176105</v>
      </c>
      <c r="C228" s="4">
        <f>-IPMT('Owner Occupier'!$D$41/12,'FHA Amotization'!$A228,360,'Owner Occupier'!$D$40,0,0)</f>
        <v>916.91171453491108</v>
      </c>
      <c r="D228" s="4">
        <f t="shared" si="9"/>
        <v>2402.0458219525217</v>
      </c>
      <c r="E228" s="3">
        <f t="shared" si="10"/>
        <v>257407.58529067514</v>
      </c>
      <c r="F228" s="4">
        <f>('Owner Occupier'!$H$24-'Owner Occupier'!$D$52)/('Owner Occupier'!$D$56-'Owner Occupier'!$D$52)*B228</f>
        <v>706.62055546998204</v>
      </c>
      <c r="G228" s="4">
        <f t="shared" si="11"/>
        <v>109848.28940833149</v>
      </c>
    </row>
    <row r="229" spans="1:7" x14ac:dyDescent="0.25">
      <c r="A229">
        <v>226</v>
      </c>
      <c r="B229" s="4">
        <f>-PPMT('Owner Occupier'!$D$41/12,'FHA Amotization'!$A229,360,'Owner Occupier'!$D$40,0,0)</f>
        <v>1490.3939573813811</v>
      </c>
      <c r="C229" s="4">
        <f>-IPMT('Owner Occupier'!$D$41/12,'FHA Amotization'!$A229,360,'Owner Occupier'!$D$40,0,0)</f>
        <v>911.65186457114021</v>
      </c>
      <c r="D229" s="4">
        <f t="shared" si="9"/>
        <v>2402.0458219525212</v>
      </c>
      <c r="E229" s="3">
        <f t="shared" si="10"/>
        <v>255917.19133329377</v>
      </c>
      <c r="F229" s="4">
        <f>('Owner Occupier'!$H$24-'Owner Occupier'!$D$52)/('Owner Occupier'!$D$56-'Owner Occupier'!$D$52)*B229</f>
        <v>709.12316993727154</v>
      </c>
      <c r="G229" s="4">
        <f t="shared" si="11"/>
        <v>110557.41257826876</v>
      </c>
    </row>
    <row r="230" spans="1:7" x14ac:dyDescent="0.25">
      <c r="A230">
        <v>227</v>
      </c>
      <c r="B230" s="4">
        <f>-PPMT('Owner Occupier'!$D$41/12,'FHA Amotization'!$A230,360,'Owner Occupier'!$D$40,0,0)</f>
        <v>1495.6724359804405</v>
      </c>
      <c r="C230" s="4">
        <f>-IPMT('Owner Occupier'!$D$41/12,'FHA Amotization'!$A230,360,'Owner Occupier'!$D$40,0,0)</f>
        <v>906.37338597208111</v>
      </c>
      <c r="D230" s="4">
        <f t="shared" si="9"/>
        <v>2402.0458219525217</v>
      </c>
      <c r="E230" s="3">
        <f t="shared" si="10"/>
        <v>254421.51889731333</v>
      </c>
      <c r="F230" s="4">
        <f>('Owner Occupier'!$H$24-'Owner Occupier'!$D$52)/('Owner Occupier'!$D$56-'Owner Occupier'!$D$52)*B230</f>
        <v>711.63464783079951</v>
      </c>
      <c r="G230" s="4">
        <f t="shared" si="11"/>
        <v>111269.04722609956</v>
      </c>
    </row>
    <row r="231" spans="1:7" x14ac:dyDescent="0.25">
      <c r="A231">
        <v>228</v>
      </c>
      <c r="B231" s="4">
        <f>-PPMT('Owner Occupier'!$D$41/12,'FHA Amotization'!$A231,360,'Owner Occupier'!$D$40,0,0)</f>
        <v>1500.9696091912042</v>
      </c>
      <c r="C231" s="4">
        <f>-IPMT('Owner Occupier'!$D$41/12,'FHA Amotization'!$A231,360,'Owner Occupier'!$D$40,0,0)</f>
        <v>901.07621276131704</v>
      </c>
      <c r="D231" s="4">
        <f t="shared" si="9"/>
        <v>2402.0458219525212</v>
      </c>
      <c r="E231" s="3">
        <f t="shared" si="10"/>
        <v>252920.54928812213</v>
      </c>
      <c r="F231" s="4">
        <f>('Owner Occupier'!$H$24-'Owner Occupier'!$D$52)/('Owner Occupier'!$D$56-'Owner Occupier'!$D$52)*B231</f>
        <v>714.15502054186675</v>
      </c>
      <c r="G231" s="4">
        <f t="shared" si="11"/>
        <v>111983.20224664142</v>
      </c>
    </row>
    <row r="232" spans="1:7" x14ac:dyDescent="0.25">
      <c r="A232">
        <v>229</v>
      </c>
      <c r="B232" s="4">
        <f>-PPMT('Owner Occupier'!$D$41/12,'FHA Amotization'!$A232,360,'Owner Occupier'!$D$40,0,0)</f>
        <v>1506.2855432237563</v>
      </c>
      <c r="C232" s="4">
        <f>-IPMT('Owner Occupier'!$D$41/12,'FHA Amotization'!$A232,360,'Owner Occupier'!$D$40,0,0)</f>
        <v>895.76027872876489</v>
      </c>
      <c r="D232" s="4">
        <f t="shared" si="9"/>
        <v>2402.0458219525212</v>
      </c>
      <c r="E232" s="3">
        <f t="shared" si="10"/>
        <v>251414.26374489837</v>
      </c>
      <c r="F232" s="4">
        <f>('Owner Occupier'!$H$24-'Owner Occupier'!$D$52)/('Owner Occupier'!$D$56-'Owner Occupier'!$D$52)*B232</f>
        <v>716.68431957295252</v>
      </c>
      <c r="G232" s="4">
        <f t="shared" si="11"/>
        <v>112699.88656621438</v>
      </c>
    </row>
    <row r="233" spans="1:7" x14ac:dyDescent="0.25">
      <c r="A233">
        <v>230</v>
      </c>
      <c r="B233" s="4">
        <f>-PPMT('Owner Occupier'!$D$41/12,'FHA Amotization'!$A233,360,'Owner Occupier'!$D$40,0,0)</f>
        <v>1511.6203045226739</v>
      </c>
      <c r="C233" s="4">
        <f>-IPMT('Owner Occupier'!$D$41/12,'FHA Amotization'!$A233,360,'Owner Occupier'!$D$40,0,0)</f>
        <v>890.42551742984733</v>
      </c>
      <c r="D233" s="4">
        <f t="shared" si="9"/>
        <v>2402.0458219525212</v>
      </c>
      <c r="E233" s="3">
        <f t="shared" si="10"/>
        <v>249902.64344037569</v>
      </c>
      <c r="F233" s="4">
        <f>('Owner Occupier'!$H$24-'Owner Occupier'!$D$52)/('Owner Occupier'!$D$56-'Owner Occupier'!$D$52)*B233</f>
        <v>719.22257653810675</v>
      </c>
      <c r="G233" s="4">
        <f t="shared" si="11"/>
        <v>113419.10914275248</v>
      </c>
    </row>
    <row r="234" spans="1:7" x14ac:dyDescent="0.25">
      <c r="A234">
        <v>231</v>
      </c>
      <c r="B234" s="4">
        <f>-PPMT('Owner Occupier'!$D$41/12,'FHA Amotization'!$A234,360,'Owner Occupier'!$D$40,0,0)</f>
        <v>1516.9739597678586</v>
      </c>
      <c r="C234" s="4">
        <f>-IPMT('Owner Occupier'!$D$41/12,'FHA Amotization'!$A234,360,'Owner Occupier'!$D$40,0,0)</f>
        <v>885.0718621846629</v>
      </c>
      <c r="D234" s="4">
        <f t="shared" si="9"/>
        <v>2402.0458219525217</v>
      </c>
      <c r="E234" s="3">
        <f t="shared" si="10"/>
        <v>248385.66948060782</v>
      </c>
      <c r="F234" s="4">
        <f>('Owner Occupier'!$H$24-'Owner Occupier'!$D$52)/('Owner Occupier'!$D$56-'Owner Occupier'!$D$52)*B234</f>
        <v>721.76982316334602</v>
      </c>
      <c r="G234" s="4">
        <f t="shared" si="11"/>
        <v>114140.87896591582</v>
      </c>
    </row>
    <row r="235" spans="1:7" x14ac:dyDescent="0.25">
      <c r="A235">
        <v>232</v>
      </c>
      <c r="B235" s="4">
        <f>-PPMT('Owner Occupier'!$D$41/12,'FHA Amotization'!$A235,360,'Owner Occupier'!$D$40,0,0)</f>
        <v>1522.3465758753696</v>
      </c>
      <c r="C235" s="4">
        <f>-IPMT('Owner Occupier'!$D$41/12,'FHA Amotization'!$A235,360,'Owner Occupier'!$D$40,0,0)</f>
        <v>879.69924607715177</v>
      </c>
      <c r="D235" s="4">
        <f t="shared" si="9"/>
        <v>2402.0458219525212</v>
      </c>
      <c r="E235" s="3">
        <f t="shared" si="10"/>
        <v>246863.32290473246</v>
      </c>
      <c r="F235" s="4">
        <f>('Owner Occupier'!$H$24-'Owner Occupier'!$D$52)/('Owner Occupier'!$D$56-'Owner Occupier'!$D$52)*B235</f>
        <v>724.32609128704951</v>
      </c>
      <c r="G235" s="4">
        <f t="shared" si="11"/>
        <v>114865.20505720287</v>
      </c>
    </row>
    <row r="236" spans="1:7" x14ac:dyDescent="0.25">
      <c r="A236">
        <v>233</v>
      </c>
      <c r="B236" s="4">
        <f>-PPMT('Owner Occupier'!$D$41/12,'FHA Amotization'!$A236,360,'Owner Occupier'!$D$40,0,0)</f>
        <v>1527.7382199982617</v>
      </c>
      <c r="C236" s="4">
        <f>-IPMT('Owner Occupier'!$D$41/12,'FHA Amotization'!$A236,360,'Owner Occupier'!$D$40,0,0)</f>
        <v>874.30760195425989</v>
      </c>
      <c r="D236" s="4">
        <f t="shared" si="9"/>
        <v>2402.0458219525217</v>
      </c>
      <c r="E236" s="3">
        <f t="shared" si="10"/>
        <v>245335.5846847342</v>
      </c>
      <c r="F236" s="4">
        <f>('Owner Occupier'!$H$24-'Owner Occupier'!$D$52)/('Owner Occupier'!$D$56-'Owner Occupier'!$D$52)*B236</f>
        <v>726.89141286035783</v>
      </c>
      <c r="G236" s="4">
        <f t="shared" si="11"/>
        <v>115592.09647006323</v>
      </c>
    </row>
    <row r="237" spans="1:7" x14ac:dyDescent="0.25">
      <c r="A237">
        <v>234</v>
      </c>
      <c r="B237" s="4">
        <f>-PPMT('Owner Occupier'!$D$41/12,'FHA Amotization'!$A237,360,'Owner Occupier'!$D$40,0,0)</f>
        <v>1533.1489595274222</v>
      </c>
      <c r="C237" s="4">
        <f>-IPMT('Owner Occupier'!$D$41/12,'FHA Amotization'!$A237,360,'Owner Occupier'!$D$40,0,0)</f>
        <v>868.89686242509936</v>
      </c>
      <c r="D237" s="4">
        <f t="shared" si="9"/>
        <v>2402.0458219525217</v>
      </c>
      <c r="E237" s="3">
        <f t="shared" si="10"/>
        <v>243802.43572520677</v>
      </c>
      <c r="F237" s="4">
        <f>('Owner Occupier'!$H$24-'Owner Occupier'!$D$52)/('Owner Occupier'!$D$56-'Owner Occupier'!$D$52)*B237</f>
        <v>729.46581994757162</v>
      </c>
      <c r="G237" s="4">
        <f t="shared" si="11"/>
        <v>116321.5622900108</v>
      </c>
    </row>
    <row r="238" spans="1:7" x14ac:dyDescent="0.25">
      <c r="A238">
        <v>235</v>
      </c>
      <c r="B238" s="4">
        <f>-PPMT('Owner Occupier'!$D$41/12,'FHA Amotization'!$A238,360,'Owner Occupier'!$D$40,0,0)</f>
        <v>1538.5788620924152</v>
      </c>
      <c r="C238" s="4">
        <f>-IPMT('Owner Occupier'!$D$41/12,'FHA Amotization'!$A238,360,'Owner Occupier'!$D$40,0,0)</f>
        <v>863.4669598601065</v>
      </c>
      <c r="D238" s="4">
        <f t="shared" si="9"/>
        <v>2402.0458219525217</v>
      </c>
      <c r="E238" s="3">
        <f t="shared" si="10"/>
        <v>242263.85686311434</v>
      </c>
      <c r="F238" s="4">
        <f>('Owner Occupier'!$H$24-'Owner Occupier'!$D$52)/('Owner Occupier'!$D$56-'Owner Occupier'!$D$52)*B238</f>
        <v>732.04934472655259</v>
      </c>
      <c r="G238" s="4">
        <f t="shared" si="11"/>
        <v>117053.61163473735</v>
      </c>
    </row>
    <row r="239" spans="1:7" x14ac:dyDescent="0.25">
      <c r="A239">
        <v>236</v>
      </c>
      <c r="B239" s="4">
        <f>-PPMT('Owner Occupier'!$D$41/12,'FHA Amotization'!$A239,360,'Owner Occupier'!$D$40,0,0)</f>
        <v>1544.0279955623255</v>
      </c>
      <c r="C239" s="4">
        <f>-IPMT('Owner Occupier'!$D$41/12,'FHA Amotization'!$A239,360,'Owner Occupier'!$D$40,0,0)</f>
        <v>858.01782639019575</v>
      </c>
      <c r="D239" s="4">
        <f t="shared" si="9"/>
        <v>2402.0458219525212</v>
      </c>
      <c r="E239" s="3">
        <f t="shared" si="10"/>
        <v>240719.82886755202</v>
      </c>
      <c r="F239" s="4">
        <f>('Owner Occupier'!$H$24-'Owner Occupier'!$D$52)/('Owner Occupier'!$D$56-'Owner Occupier'!$D$52)*B239</f>
        <v>734.64201948912569</v>
      </c>
      <c r="G239" s="4">
        <f t="shared" si="11"/>
        <v>117788.25365422647</v>
      </c>
    </row>
    <row r="240" spans="1:7" x14ac:dyDescent="0.25">
      <c r="A240">
        <v>237</v>
      </c>
      <c r="B240" s="4">
        <f>-PPMT('Owner Occupier'!$D$41/12,'FHA Amotization'!$A240,360,'Owner Occupier'!$D$40,0,0)</f>
        <v>1549.4964280466086</v>
      </c>
      <c r="C240" s="4">
        <f>-IPMT('Owner Occupier'!$D$41/12,'FHA Amotization'!$A240,360,'Owner Occupier'!$D$40,0,0)</f>
        <v>852.54939390591255</v>
      </c>
      <c r="D240" s="4">
        <f t="shared" si="9"/>
        <v>2402.0458219525212</v>
      </c>
      <c r="E240" s="3">
        <f t="shared" si="10"/>
        <v>239170.33243950541</v>
      </c>
      <c r="F240" s="4">
        <f>('Owner Occupier'!$H$24-'Owner Occupier'!$D$52)/('Owner Occupier'!$D$56-'Owner Occupier'!$D$52)*B240</f>
        <v>737.24387664148287</v>
      </c>
      <c r="G240" s="4">
        <f t="shared" si="11"/>
        <v>118525.49753086796</v>
      </c>
    </row>
    <row r="241" spans="1:7" x14ac:dyDescent="0.25">
      <c r="A241">
        <v>238</v>
      </c>
      <c r="B241" s="4">
        <f>-PPMT('Owner Occupier'!$D$41/12,'FHA Amotization'!$A241,360,'Owner Occupier'!$D$40,0,0)</f>
        <v>1554.9842278959406</v>
      </c>
      <c r="C241" s="4">
        <f>-IPMT('Owner Occupier'!$D$41/12,'FHA Amotization'!$A241,360,'Owner Occupier'!$D$40,0,0)</f>
        <v>847.06159405658082</v>
      </c>
      <c r="D241" s="4">
        <f t="shared" si="9"/>
        <v>2402.0458219525217</v>
      </c>
      <c r="E241" s="3">
        <f t="shared" si="10"/>
        <v>237615.34821160947</v>
      </c>
      <c r="F241" s="4">
        <f>('Owner Occupier'!$H$24-'Owner Occupier'!$D$52)/('Owner Occupier'!$D$56-'Owner Occupier'!$D$52)*B241</f>
        <v>739.85494870458831</v>
      </c>
      <c r="G241" s="4">
        <f t="shared" si="11"/>
        <v>119265.35247957254</v>
      </c>
    </row>
    <row r="242" spans="1:7" x14ac:dyDescent="0.25">
      <c r="A242">
        <v>239</v>
      </c>
      <c r="B242" s="4">
        <f>-PPMT('Owner Occupier'!$D$41/12,'FHA Amotization'!$A242,360,'Owner Occupier'!$D$40,0,0)</f>
        <v>1560.491463703072</v>
      </c>
      <c r="C242" s="4">
        <f>-IPMT('Owner Occupier'!$D$41/12,'FHA Amotization'!$A242,360,'Owner Occupier'!$D$40,0,0)</f>
        <v>841.55435824944948</v>
      </c>
      <c r="D242" s="4">
        <f t="shared" si="9"/>
        <v>2402.0458219525217</v>
      </c>
      <c r="E242" s="3">
        <f t="shared" si="10"/>
        <v>236054.85674790639</v>
      </c>
      <c r="F242" s="4">
        <f>('Owner Occupier'!$H$24-'Owner Occupier'!$D$52)/('Owner Occupier'!$D$56-'Owner Occupier'!$D$52)*B242</f>
        <v>742.47526831458367</v>
      </c>
      <c r="G242" s="4">
        <f t="shared" si="11"/>
        <v>120007.82774788712</v>
      </c>
    </row>
    <row r="243" spans="1:7" x14ac:dyDescent="0.25">
      <c r="A243">
        <v>240</v>
      </c>
      <c r="B243" s="4">
        <f>-PPMT('Owner Occupier'!$D$41/12,'FHA Amotization'!$A243,360,'Owner Occupier'!$D$40,0,0)</f>
        <v>1566.0182043036871</v>
      </c>
      <c r="C243" s="4">
        <f>-IPMT('Owner Occupier'!$D$41/12,'FHA Amotization'!$A243,360,'Owner Occupier'!$D$40,0,0)</f>
        <v>836.02761764883428</v>
      </c>
      <c r="D243" s="4">
        <f t="shared" si="9"/>
        <v>2402.0458219525212</v>
      </c>
      <c r="E243" s="3">
        <f t="shared" si="10"/>
        <v>234488.8385436027</v>
      </c>
      <c r="F243" s="4">
        <f>('Owner Occupier'!$H$24-'Owner Occupier'!$D$52)/('Owner Occupier'!$D$56-'Owner Occupier'!$D$52)*B243</f>
        <v>745.10486822319785</v>
      </c>
      <c r="G243" s="4">
        <f t="shared" si="11"/>
        <v>120752.93261611031</v>
      </c>
    </row>
    <row r="244" spans="1:7" x14ac:dyDescent="0.25">
      <c r="A244">
        <v>241</v>
      </c>
      <c r="B244" s="4">
        <f>-PPMT('Owner Occupier'!$D$41/12,'FHA Amotization'!$A244,360,'Owner Occupier'!$D$40,0,0)</f>
        <v>1571.5645187772625</v>
      </c>
      <c r="C244" s="4">
        <f>-IPMT('Owner Occupier'!$D$41/12,'FHA Amotization'!$A244,360,'Owner Occupier'!$D$40,0,0)</f>
        <v>830.48130317525874</v>
      </c>
      <c r="D244" s="4">
        <f t="shared" si="9"/>
        <v>2402.0458219525212</v>
      </c>
      <c r="E244" s="3">
        <f t="shared" si="10"/>
        <v>232917.27402482543</v>
      </c>
      <c r="F244" s="4">
        <f>('Owner Occupier'!$H$24-'Owner Occupier'!$D$52)/('Owner Occupier'!$D$56-'Owner Occupier'!$D$52)*B244</f>
        <v>747.74378129815489</v>
      </c>
      <c r="G244" s="4">
        <f t="shared" si="11"/>
        <v>121500.67639740846</v>
      </c>
    </row>
    <row r="245" spans="1:7" x14ac:dyDescent="0.25">
      <c r="A245">
        <v>242</v>
      </c>
      <c r="B245" s="4">
        <f>-PPMT('Owner Occupier'!$D$41/12,'FHA Amotization'!$A245,360,'Owner Occupier'!$D$40,0,0)</f>
        <v>1577.1304764479321</v>
      </c>
      <c r="C245" s="4">
        <f>-IPMT('Owner Occupier'!$D$41/12,'FHA Amotization'!$A245,360,'Owner Occupier'!$D$40,0,0)</f>
        <v>824.91534550458925</v>
      </c>
      <c r="D245" s="4">
        <f t="shared" si="9"/>
        <v>2402.0458219525212</v>
      </c>
      <c r="E245" s="3">
        <f t="shared" si="10"/>
        <v>231340.1435483775</v>
      </c>
      <c r="F245" s="4">
        <f>('Owner Occupier'!$H$24-'Owner Occupier'!$D$52)/('Owner Occupier'!$D$56-'Owner Occupier'!$D$52)*B245</f>
        <v>750.39204052358593</v>
      </c>
      <c r="G245" s="4">
        <f t="shared" si="11"/>
        <v>122251.06843793204</v>
      </c>
    </row>
    <row r="246" spans="1:7" x14ac:dyDescent="0.25">
      <c r="A246">
        <v>243</v>
      </c>
      <c r="B246" s="4">
        <f>-PPMT('Owner Occupier'!$D$41/12,'FHA Amotization'!$A246,360,'Owner Occupier'!$D$40,0,0)</f>
        <v>1582.7161468853519</v>
      </c>
      <c r="C246" s="4">
        <f>-IPMT('Owner Occupier'!$D$41/12,'FHA Amotization'!$A246,360,'Owner Occupier'!$D$40,0,0)</f>
        <v>819.32967506716955</v>
      </c>
      <c r="D246" s="4">
        <f t="shared" si="9"/>
        <v>2402.0458219525217</v>
      </c>
      <c r="E246" s="3">
        <f t="shared" si="10"/>
        <v>229757.42740149214</v>
      </c>
      <c r="F246" s="4">
        <f>('Owner Occupier'!$H$24-'Owner Occupier'!$D$52)/('Owner Occupier'!$D$56-'Owner Occupier'!$D$52)*B246</f>
        <v>753.04967900044039</v>
      </c>
      <c r="G246" s="4">
        <f t="shared" si="11"/>
        <v>123004.11811693248</v>
      </c>
    </row>
    <row r="247" spans="1:7" x14ac:dyDescent="0.25">
      <c r="A247">
        <v>244</v>
      </c>
      <c r="B247" s="4">
        <f>-PPMT('Owner Occupier'!$D$41/12,'FHA Amotization'!$A247,360,'Owner Occupier'!$D$40,0,0)</f>
        <v>1588.3215999055708</v>
      </c>
      <c r="C247" s="4">
        <f>-IPMT('Owner Occupier'!$D$41/12,'FHA Amotization'!$A247,360,'Owner Occupier'!$D$40,0,0)</f>
        <v>813.72422204695056</v>
      </c>
      <c r="D247" s="4">
        <f t="shared" si="9"/>
        <v>2402.0458219525212</v>
      </c>
      <c r="E247" s="3">
        <f t="shared" si="10"/>
        <v>228169.10580158656</v>
      </c>
      <c r="F247" s="4">
        <f>('Owner Occupier'!$H$24-'Owner Occupier'!$D$52)/('Owner Occupier'!$D$56-'Owner Occupier'!$D$52)*B247</f>
        <v>755.71672994690016</v>
      </c>
      <c r="G247" s="4">
        <f t="shared" si="11"/>
        <v>123759.83484687938</v>
      </c>
    </row>
    <row r="248" spans="1:7" x14ac:dyDescent="0.25">
      <c r="A248">
        <v>245</v>
      </c>
      <c r="B248" s="4">
        <f>-PPMT('Owner Occupier'!$D$41/12,'FHA Amotization'!$A248,360,'Owner Occupier'!$D$40,0,0)</f>
        <v>1593.946905571903</v>
      </c>
      <c r="C248" s="4">
        <f>-IPMT('Owner Occupier'!$D$41/12,'FHA Amotization'!$A248,360,'Owner Occupier'!$D$40,0,0)</f>
        <v>808.09891638061833</v>
      </c>
      <c r="D248" s="4">
        <f t="shared" si="9"/>
        <v>2402.0458219525212</v>
      </c>
      <c r="E248" s="3">
        <f t="shared" si="10"/>
        <v>226575.15889601465</v>
      </c>
      <c r="F248" s="4">
        <f>('Owner Occupier'!$H$24-'Owner Occupier'!$D$52)/('Owner Occupier'!$D$56-'Owner Occupier'!$D$52)*B248</f>
        <v>758.3932266987955</v>
      </c>
      <c r="G248" s="4">
        <f t="shared" si="11"/>
        <v>124518.22807357818</v>
      </c>
    </row>
    <row r="249" spans="1:7" x14ac:dyDescent="0.25">
      <c r="A249">
        <v>246</v>
      </c>
      <c r="B249" s="4">
        <f>-PPMT('Owner Occupier'!$D$41/12,'FHA Amotization'!$A249,360,'Owner Occupier'!$D$40,0,0)</f>
        <v>1599.5921341958033</v>
      </c>
      <c r="C249" s="4">
        <f>-IPMT('Owner Occupier'!$D$41/12,'FHA Amotization'!$A249,360,'Owner Occupier'!$D$40,0,0)</f>
        <v>802.45368775671784</v>
      </c>
      <c r="D249" s="4">
        <f t="shared" si="9"/>
        <v>2402.0458219525212</v>
      </c>
      <c r="E249" s="3">
        <f t="shared" si="10"/>
        <v>224975.56676181883</v>
      </c>
      <c r="F249" s="4">
        <f>('Owner Occupier'!$H$24-'Owner Occupier'!$D$52)/('Owner Occupier'!$D$56-'Owner Occupier'!$D$52)*B249</f>
        <v>761.07920271002024</v>
      </c>
      <c r="G249" s="4">
        <f t="shared" si="11"/>
        <v>125279.30727628821</v>
      </c>
    </row>
    <row r="250" spans="1:7" x14ac:dyDescent="0.25">
      <c r="A250">
        <v>247</v>
      </c>
      <c r="B250" s="4">
        <f>-PPMT('Owner Occupier'!$D$41/12,'FHA Amotization'!$A250,360,'Owner Occupier'!$D$40,0,0)</f>
        <v>1605.2573563377468</v>
      </c>
      <c r="C250" s="4">
        <f>-IPMT('Owner Occupier'!$D$41/12,'FHA Amotization'!$A250,360,'Owner Occupier'!$D$40,0,0)</f>
        <v>796.78846561477451</v>
      </c>
      <c r="D250" s="4">
        <f t="shared" si="9"/>
        <v>2402.0458219525212</v>
      </c>
      <c r="E250" s="3">
        <f t="shared" si="10"/>
        <v>223370.30940548109</v>
      </c>
      <c r="F250" s="4">
        <f>('Owner Occupier'!$H$24-'Owner Occupier'!$D$52)/('Owner Occupier'!$D$56-'Owner Occupier'!$D$52)*B250</f>
        <v>763.77469155295159</v>
      </c>
      <c r="G250" s="4">
        <f t="shared" si="11"/>
        <v>126043.08196784116</v>
      </c>
    </row>
    <row r="251" spans="1:7" x14ac:dyDescent="0.25">
      <c r="A251">
        <v>248</v>
      </c>
      <c r="B251" s="4">
        <f>-PPMT('Owner Occupier'!$D$41/12,'FHA Amotization'!$A251,360,'Owner Occupier'!$D$40,0,0)</f>
        <v>1610.9426428081097</v>
      </c>
      <c r="C251" s="4">
        <f>-IPMT('Owner Occupier'!$D$41/12,'FHA Amotization'!$A251,360,'Owner Occupier'!$D$40,0,0)</f>
        <v>791.10317914441157</v>
      </c>
      <c r="D251" s="4">
        <f t="shared" si="9"/>
        <v>2402.0458219525212</v>
      </c>
      <c r="E251" s="3">
        <f t="shared" si="10"/>
        <v>221759.36676267299</v>
      </c>
      <c r="F251" s="4">
        <f>('Owner Occupier'!$H$24-'Owner Occupier'!$D$52)/('Owner Occupier'!$D$56-'Owner Occupier'!$D$52)*B251</f>
        <v>766.47972691886832</v>
      </c>
      <c r="G251" s="4">
        <f t="shared" si="11"/>
        <v>126809.56169476004</v>
      </c>
    </row>
    <row r="252" spans="1:7" x14ac:dyDescent="0.25">
      <c r="A252">
        <v>249</v>
      </c>
      <c r="B252" s="4">
        <f>-PPMT('Owner Occupier'!$D$41/12,'FHA Amotization'!$A252,360,'Owner Occupier'!$D$40,0,0)</f>
        <v>1616.6480646680554</v>
      </c>
      <c r="C252" s="4">
        <f>-IPMT('Owner Occupier'!$D$41/12,'FHA Amotization'!$A252,360,'Owner Occupier'!$D$40,0,0)</f>
        <v>785.39775728446614</v>
      </c>
      <c r="D252" s="4">
        <f t="shared" si="9"/>
        <v>2402.0458219525217</v>
      </c>
      <c r="E252" s="3">
        <f t="shared" si="10"/>
        <v>220142.71869800493</v>
      </c>
      <c r="F252" s="4">
        <f>('Owner Occupier'!$H$24-'Owner Occupier'!$D$52)/('Owner Occupier'!$D$56-'Owner Occupier'!$D$52)*B252</f>
        <v>769.19434261837284</v>
      </c>
      <c r="G252" s="4">
        <f t="shared" si="11"/>
        <v>127578.75603737841</v>
      </c>
    </row>
    <row r="253" spans="1:7" x14ac:dyDescent="0.25">
      <c r="A253">
        <v>250</v>
      </c>
      <c r="B253" s="4">
        <f>-PPMT('Owner Occupier'!$D$41/12,'FHA Amotization'!$A253,360,'Owner Occupier'!$D$40,0,0)</f>
        <v>1622.3736932304214</v>
      </c>
      <c r="C253" s="4">
        <f>-IPMT('Owner Occupier'!$D$41/12,'FHA Amotization'!$A253,360,'Owner Occupier'!$D$40,0,0)</f>
        <v>779.67212872210018</v>
      </c>
      <c r="D253" s="4">
        <f t="shared" si="9"/>
        <v>2402.0458219525217</v>
      </c>
      <c r="E253" s="3">
        <f t="shared" si="10"/>
        <v>218520.34500477451</v>
      </c>
      <c r="F253" s="4">
        <f>('Owner Occupier'!$H$24-'Owner Occupier'!$D$52)/('Owner Occupier'!$D$56-'Owner Occupier'!$D$52)*B253</f>
        <v>771.9185725818129</v>
      </c>
      <c r="G253" s="4">
        <f t="shared" si="11"/>
        <v>128350.67460996022</v>
      </c>
    </row>
    <row r="254" spans="1:7" x14ac:dyDescent="0.25">
      <c r="A254">
        <v>251</v>
      </c>
      <c r="B254" s="4">
        <f>-PPMT('Owner Occupier'!$D$41/12,'FHA Amotization'!$A254,360,'Owner Occupier'!$D$40,0,0)</f>
        <v>1628.1196000606124</v>
      </c>
      <c r="C254" s="4">
        <f>-IPMT('Owner Occupier'!$D$41/12,'FHA Amotization'!$A254,360,'Owner Occupier'!$D$40,0,0)</f>
        <v>773.92622189190922</v>
      </c>
      <c r="D254" s="4">
        <f t="shared" si="9"/>
        <v>2402.0458219525217</v>
      </c>
      <c r="E254" s="3">
        <f t="shared" si="10"/>
        <v>216892.22540471391</v>
      </c>
      <c r="F254" s="4">
        <f>('Owner Occupier'!$H$24-'Owner Occupier'!$D$52)/('Owner Occupier'!$D$56-'Owner Occupier'!$D$52)*B254</f>
        <v>774.65245085970673</v>
      </c>
      <c r="G254" s="4">
        <f t="shared" si="11"/>
        <v>129125.32706081992</v>
      </c>
    </row>
    <row r="255" spans="1:7" x14ac:dyDescent="0.25">
      <c r="A255">
        <v>252</v>
      </c>
      <c r="B255" s="4">
        <f>-PPMT('Owner Occupier'!$D$41/12,'FHA Amotization'!$A255,360,'Owner Occupier'!$D$40,0,0)</f>
        <v>1633.8858569774936</v>
      </c>
      <c r="C255" s="4">
        <f>-IPMT('Owner Occupier'!$D$41/12,'FHA Amotization'!$A255,360,'Owner Occupier'!$D$40,0,0)</f>
        <v>768.15996497502772</v>
      </c>
      <c r="D255" s="4">
        <f t="shared" si="9"/>
        <v>2402.0458219525212</v>
      </c>
      <c r="E255" s="3">
        <f t="shared" si="10"/>
        <v>215258.33954773642</v>
      </c>
      <c r="F255" s="4">
        <f>('Owner Occupier'!$H$24-'Owner Occupier'!$D$52)/('Owner Occupier'!$D$56-'Owner Occupier'!$D$52)*B255</f>
        <v>777.39601162316819</v>
      </c>
      <c r="G255" s="4">
        <f t="shared" si="11"/>
        <v>129902.72307244308</v>
      </c>
    </row>
    <row r="256" spans="1:7" x14ac:dyDescent="0.25">
      <c r="A256">
        <v>253</v>
      </c>
      <c r="B256" s="4">
        <f>-PPMT('Owner Occupier'!$D$41/12,'FHA Amotization'!$A256,360,'Owner Occupier'!$D$40,0,0)</f>
        <v>1639.6725360542889</v>
      </c>
      <c r="C256" s="4">
        <f>-IPMT('Owner Occupier'!$D$41/12,'FHA Amotization'!$A256,360,'Owner Occupier'!$D$40,0,0)</f>
        <v>762.37328589823244</v>
      </c>
      <c r="D256" s="4">
        <f t="shared" si="9"/>
        <v>2402.0458219525212</v>
      </c>
      <c r="E256" s="3">
        <f t="shared" si="10"/>
        <v>213618.66701168215</v>
      </c>
      <c r="F256" s="4">
        <f>('Owner Occupier'!$H$24-'Owner Occupier'!$D$52)/('Owner Occupier'!$D$56-'Owner Occupier'!$D$52)*B256</f>
        <v>780.1492891643336</v>
      </c>
      <c r="G256" s="4">
        <f t="shared" si="11"/>
        <v>130682.87236160741</v>
      </c>
    </row>
    <row r="257" spans="1:7" x14ac:dyDescent="0.25">
      <c r="A257">
        <v>254</v>
      </c>
      <c r="B257" s="4">
        <f>-PPMT('Owner Occupier'!$D$41/12,'FHA Amotization'!$A257,360,'Owner Occupier'!$D$40,0,0)</f>
        <v>1645.4797096194814</v>
      </c>
      <c r="C257" s="4">
        <f>-IPMT('Owner Occupier'!$D$41/12,'FHA Amotization'!$A257,360,'Owner Occupier'!$D$40,0,0)</f>
        <v>756.56611233304022</v>
      </c>
      <c r="D257" s="4">
        <f t="shared" si="9"/>
        <v>2402.0458219525217</v>
      </c>
      <c r="E257" s="3">
        <f t="shared" si="10"/>
        <v>211973.18730206267</v>
      </c>
      <c r="F257" s="4">
        <f>('Owner Occupier'!$H$24-'Owner Occupier'!$D$52)/('Owner Occupier'!$D$56-'Owner Occupier'!$D$52)*B257</f>
        <v>782.91231789679068</v>
      </c>
      <c r="G257" s="4">
        <f t="shared" si="11"/>
        <v>131465.7846795042</v>
      </c>
    </row>
    <row r="258" spans="1:7" x14ac:dyDescent="0.25">
      <c r="A258">
        <v>255</v>
      </c>
      <c r="B258" s="4">
        <f>-PPMT('Owner Occupier'!$D$41/12,'FHA Amotization'!$A258,360,'Owner Occupier'!$D$40,0,0)</f>
        <v>1651.3074502577169</v>
      </c>
      <c r="C258" s="4">
        <f>-IPMT('Owner Occupier'!$D$41/12,'FHA Amotization'!$A258,360,'Owner Occupier'!$D$40,0,0)</f>
        <v>750.73837169480441</v>
      </c>
      <c r="D258" s="4">
        <f t="shared" si="9"/>
        <v>2402.0458219525212</v>
      </c>
      <c r="E258" s="3">
        <f t="shared" si="10"/>
        <v>210321.87985180496</v>
      </c>
      <c r="F258" s="4">
        <f>('Owner Occupier'!$H$24-'Owner Occupier'!$D$52)/('Owner Occupier'!$D$56-'Owner Occupier'!$D$52)*B258</f>
        <v>785.68513235600847</v>
      </c>
      <c r="G258" s="4">
        <f t="shared" si="11"/>
        <v>132251.46981186021</v>
      </c>
    </row>
    <row r="259" spans="1:7" x14ac:dyDescent="0.25">
      <c r="A259">
        <v>256</v>
      </c>
      <c r="B259" s="4">
        <f>-PPMT('Owner Occupier'!$D$41/12,'FHA Amotization'!$A259,360,'Owner Occupier'!$D$40,0,0)</f>
        <v>1657.155830810713</v>
      </c>
      <c r="C259" s="4">
        <f>-IPMT('Owner Occupier'!$D$41/12,'FHA Amotization'!$A259,360,'Owner Occupier'!$D$40,0,0)</f>
        <v>744.8899911418082</v>
      </c>
      <c r="D259" s="4">
        <f t="shared" si="9"/>
        <v>2402.0458219525212</v>
      </c>
      <c r="E259" s="3">
        <f t="shared" si="10"/>
        <v>208664.72402099424</v>
      </c>
      <c r="F259" s="4">
        <f>('Owner Occupier'!$H$24-'Owner Occupier'!$D$52)/('Owner Occupier'!$D$56-'Owner Occupier'!$D$52)*B259</f>
        <v>788.46776719976924</v>
      </c>
      <c r="G259" s="4">
        <f t="shared" si="11"/>
        <v>133039.93757905997</v>
      </c>
    </row>
    <row r="260" spans="1:7" x14ac:dyDescent="0.25">
      <c r="A260">
        <v>257</v>
      </c>
      <c r="B260" s="4">
        <f>-PPMT('Owner Occupier'!$D$41/12,'FHA Amotization'!$A260,360,'Owner Occupier'!$D$40,0,0)</f>
        <v>1663.024924378168</v>
      </c>
      <c r="C260" s="4">
        <f>-IPMT('Owner Occupier'!$D$41/12,'FHA Amotization'!$A260,360,'Owner Occupier'!$D$40,0,0)</f>
        <v>739.02089757435374</v>
      </c>
      <c r="D260" s="4">
        <f t="shared" si="9"/>
        <v>2402.0458219525217</v>
      </c>
      <c r="E260" s="3">
        <f t="shared" si="10"/>
        <v>207001.69909661607</v>
      </c>
      <c r="F260" s="4">
        <f>('Owner Occupier'!$H$24-'Owner Occupier'!$D$52)/('Owner Occupier'!$D$56-'Owner Occupier'!$D$52)*B260</f>
        <v>791.26025720860196</v>
      </c>
      <c r="G260" s="4">
        <f t="shared" si="11"/>
        <v>133831.19783626858</v>
      </c>
    </row>
    <row r="261" spans="1:7" x14ac:dyDescent="0.25">
      <c r="A261">
        <v>258</v>
      </c>
      <c r="B261" s="4">
        <f>-PPMT('Owner Occupier'!$D$41/12,'FHA Amotization'!$A261,360,'Owner Occupier'!$D$40,0,0)</f>
        <v>1668.9148043186738</v>
      </c>
      <c r="C261" s="4">
        <f>-IPMT('Owner Occupier'!$D$41/12,'FHA Amotization'!$A261,360,'Owner Occupier'!$D$40,0,0)</f>
        <v>733.1310176338477</v>
      </c>
      <c r="D261" s="4">
        <f t="shared" ref="D261:D324" si="12">B261+C261</f>
        <v>2402.0458219525217</v>
      </c>
      <c r="E261" s="3">
        <f t="shared" si="10"/>
        <v>205332.78429229738</v>
      </c>
      <c r="F261" s="4">
        <f>('Owner Occupier'!$H$24-'Owner Occupier'!$D$52)/('Owner Occupier'!$D$56-'Owner Occupier'!$D$52)*B261</f>
        <v>794.06263728621559</v>
      </c>
      <c r="G261" s="4">
        <f t="shared" si="11"/>
        <v>134625.26047355478</v>
      </c>
    </row>
    <row r="262" spans="1:7" x14ac:dyDescent="0.25">
      <c r="A262">
        <v>259</v>
      </c>
      <c r="B262" s="4">
        <f>-PPMT('Owner Occupier'!$D$41/12,'FHA Amotization'!$A262,360,'Owner Occupier'!$D$40,0,0)</f>
        <v>1674.8255442506356</v>
      </c>
      <c r="C262" s="4">
        <f>-IPMT('Owner Occupier'!$D$41/12,'FHA Amotization'!$A262,360,'Owner Occupier'!$D$40,0,0)</f>
        <v>727.22027770188572</v>
      </c>
      <c r="D262" s="4">
        <f t="shared" si="12"/>
        <v>2402.0458219525212</v>
      </c>
      <c r="E262" s="3">
        <f t="shared" ref="E262:E325" si="13">E261-B262</f>
        <v>203657.95874804675</v>
      </c>
      <c r="F262" s="4">
        <f>('Owner Occupier'!$H$24-'Owner Occupier'!$D$52)/('Owner Occupier'!$D$56-'Owner Occupier'!$D$52)*B262</f>
        <v>796.87494245993764</v>
      </c>
      <c r="G262" s="4">
        <f t="shared" ref="G262:G325" si="14">F262+G261</f>
        <v>135422.13541601473</v>
      </c>
    </row>
    <row r="263" spans="1:7" x14ac:dyDescent="0.25">
      <c r="A263">
        <v>260</v>
      </c>
      <c r="B263" s="4">
        <f>-PPMT('Owner Occupier'!$D$41/12,'FHA Amotization'!$A263,360,'Owner Occupier'!$D$40,0,0)</f>
        <v>1680.7572180531899</v>
      </c>
      <c r="C263" s="4">
        <f>-IPMT('Owner Occupier'!$D$41/12,'FHA Amotization'!$A263,360,'Owner Occupier'!$D$40,0,0)</f>
        <v>721.28860389933129</v>
      </c>
      <c r="D263" s="4">
        <f t="shared" si="12"/>
        <v>2402.0458219525212</v>
      </c>
      <c r="E263" s="3">
        <f t="shared" si="13"/>
        <v>201977.20152999356</v>
      </c>
      <c r="F263" s="4">
        <f>('Owner Occupier'!$H$24-'Owner Occupier'!$D$52)/('Owner Occupier'!$D$56-'Owner Occupier'!$D$52)*B263</f>
        <v>799.69720788114989</v>
      </c>
      <c r="G263" s="4">
        <f t="shared" si="14"/>
        <v>136221.83262389587</v>
      </c>
    </row>
    <row r="264" spans="1:7" x14ac:dyDescent="0.25">
      <c r="A264">
        <v>261</v>
      </c>
      <c r="B264" s="4">
        <f>-PPMT('Owner Occupier'!$D$41/12,'FHA Amotization'!$A264,360,'Owner Occupier'!$D$40,0,0)</f>
        <v>1686.7098998671283</v>
      </c>
      <c r="C264" s="4">
        <f>-IPMT('Owner Occupier'!$D$41/12,'FHA Amotization'!$A264,360,'Owner Occupier'!$D$40,0,0)</f>
        <v>715.33592208539301</v>
      </c>
      <c r="D264" s="4">
        <f t="shared" si="12"/>
        <v>2402.0458219525212</v>
      </c>
      <c r="E264" s="3">
        <f t="shared" si="13"/>
        <v>200290.49163012643</v>
      </c>
      <c r="F264" s="4">
        <f>('Owner Occupier'!$H$24-'Owner Occupier'!$D$52)/('Owner Occupier'!$D$56-'Owner Occupier'!$D$52)*B264</f>
        <v>802.52946882572894</v>
      </c>
      <c r="G264" s="4">
        <f t="shared" si="14"/>
        <v>137024.3620927216</v>
      </c>
    </row>
    <row r="265" spans="1:7" x14ac:dyDescent="0.25">
      <c r="A265">
        <v>262</v>
      </c>
      <c r="B265" s="4">
        <f>-PPMT('Owner Occupier'!$D$41/12,'FHA Amotization'!$A265,360,'Owner Occupier'!$D$40,0,0)</f>
        <v>1692.6836640958245</v>
      </c>
      <c r="C265" s="4">
        <f>-IPMT('Owner Occupier'!$D$41/12,'FHA Amotization'!$A265,360,'Owner Occupier'!$D$40,0,0)</f>
        <v>709.36215785669685</v>
      </c>
      <c r="D265" s="4">
        <f t="shared" si="12"/>
        <v>2402.0458219525212</v>
      </c>
      <c r="E265" s="3">
        <f t="shared" si="13"/>
        <v>198597.80796603061</v>
      </c>
      <c r="F265" s="4">
        <f>('Owner Occupier'!$H$24-'Owner Occupier'!$D$52)/('Owner Occupier'!$D$56-'Owner Occupier'!$D$52)*B265</f>
        <v>805.37176069448674</v>
      </c>
      <c r="G265" s="4">
        <f t="shared" si="14"/>
        <v>137829.73385341608</v>
      </c>
    </row>
    <row r="266" spans="1:7" x14ac:dyDescent="0.25">
      <c r="A266">
        <v>263</v>
      </c>
      <c r="B266" s="4">
        <f>-PPMT('Owner Occupier'!$D$41/12,'FHA Amotization'!$A266,360,'Owner Occupier'!$D$40,0,0)</f>
        <v>1698.6785854061638</v>
      </c>
      <c r="C266" s="4">
        <f>-IPMT('Owner Occupier'!$D$41/12,'FHA Amotization'!$A266,360,'Owner Occupier'!$D$40,0,0)</f>
        <v>703.36723654635762</v>
      </c>
      <c r="D266" s="4">
        <f t="shared" si="12"/>
        <v>2402.0458219525217</v>
      </c>
      <c r="E266" s="3">
        <f t="shared" si="13"/>
        <v>196899.12938062445</v>
      </c>
      <c r="F266" s="4">
        <f>('Owner Occupier'!$H$24-'Owner Occupier'!$D$52)/('Owner Occupier'!$D$56-'Owner Occupier'!$D$52)*B266</f>
        <v>808.22411901361306</v>
      </c>
      <c r="G266" s="4">
        <f t="shared" si="14"/>
        <v>138637.95797242969</v>
      </c>
    </row>
    <row r="267" spans="1:7" x14ac:dyDescent="0.25">
      <c r="A267">
        <v>264</v>
      </c>
      <c r="B267" s="4">
        <f>-PPMT('Owner Occupier'!$D$41/12,'FHA Amotization'!$A267,360,'Owner Occupier'!$D$40,0,0)</f>
        <v>1704.6947387294774</v>
      </c>
      <c r="C267" s="4">
        <f>-IPMT('Owner Occupier'!$D$41/12,'FHA Amotization'!$A267,360,'Owner Occupier'!$D$40,0,0)</f>
        <v>697.35108322304416</v>
      </c>
      <c r="D267" s="4">
        <f t="shared" si="12"/>
        <v>2402.0458219525217</v>
      </c>
      <c r="E267" s="3">
        <f t="shared" si="13"/>
        <v>195194.43464189497</v>
      </c>
      <c r="F267" s="4">
        <f>('Owner Occupier'!$H$24-'Owner Occupier'!$D$52)/('Owner Occupier'!$D$56-'Owner Occupier'!$D$52)*B267</f>
        <v>811.08657943511969</v>
      </c>
      <c r="G267" s="4">
        <f t="shared" si="14"/>
        <v>139449.04455186482</v>
      </c>
    </row>
    <row r="268" spans="1:7" x14ac:dyDescent="0.25">
      <c r="A268">
        <v>265</v>
      </c>
      <c r="B268" s="4">
        <f>-PPMT('Owner Occupier'!$D$41/12,'FHA Amotization'!$A268,360,'Owner Occupier'!$D$40,0,0)</f>
        <v>1710.7321992624775</v>
      </c>
      <c r="C268" s="4">
        <f>-IPMT('Owner Occupier'!$D$41/12,'FHA Amotization'!$A268,360,'Owner Occupier'!$D$40,0,0)</f>
        <v>691.31362269004376</v>
      </c>
      <c r="D268" s="4">
        <f t="shared" si="12"/>
        <v>2402.0458219525212</v>
      </c>
      <c r="E268" s="3">
        <f t="shared" si="13"/>
        <v>193483.70244263249</v>
      </c>
      <c r="F268" s="4">
        <f>('Owner Occupier'!$H$24-'Owner Occupier'!$D$52)/('Owner Occupier'!$D$56-'Owner Occupier'!$D$52)*B268</f>
        <v>813.95917773728559</v>
      </c>
      <c r="G268" s="4">
        <f t="shared" si="14"/>
        <v>140263.00372960212</v>
      </c>
    </row>
    <row r="269" spans="1:7" x14ac:dyDescent="0.25">
      <c r="A269">
        <v>266</v>
      </c>
      <c r="B269" s="4">
        <f>-PPMT('Owner Occupier'!$D$41/12,'FHA Amotization'!$A269,360,'Owner Occupier'!$D$40,0,0)</f>
        <v>1716.7910424681988</v>
      </c>
      <c r="C269" s="4">
        <f>-IPMT('Owner Occupier'!$D$41/12,'FHA Amotization'!$A269,360,'Owner Occupier'!$D$40,0,0)</f>
        <v>685.25477948432251</v>
      </c>
      <c r="D269" s="4">
        <f t="shared" si="12"/>
        <v>2402.0458219525212</v>
      </c>
      <c r="E269" s="3">
        <f t="shared" si="13"/>
        <v>191766.9114001643</v>
      </c>
      <c r="F269" s="4">
        <f>('Owner Occupier'!$H$24-'Owner Occupier'!$D$52)/('Owner Occupier'!$D$56-'Owner Occupier'!$D$52)*B269</f>
        <v>816.84194982510519</v>
      </c>
      <c r="G269" s="4">
        <f t="shared" si="14"/>
        <v>141079.84567942724</v>
      </c>
    </row>
    <row r="270" spans="1:7" x14ac:dyDescent="0.25">
      <c r="A270">
        <v>267</v>
      </c>
      <c r="B270" s="4">
        <f>-PPMT('Owner Occupier'!$D$41/12,'FHA Amotization'!$A270,360,'Owner Occupier'!$D$40,0,0)</f>
        <v>1722.8713440769404</v>
      </c>
      <c r="C270" s="4">
        <f>-IPMT('Owner Occupier'!$D$41/12,'FHA Amotization'!$A270,360,'Owner Occupier'!$D$40,0,0)</f>
        <v>679.17447787558103</v>
      </c>
      <c r="D270" s="4">
        <f t="shared" si="12"/>
        <v>2402.0458219525217</v>
      </c>
      <c r="E270" s="3">
        <f t="shared" si="13"/>
        <v>190044.04005608737</v>
      </c>
      <c r="F270" s="4">
        <f>('Owner Occupier'!$H$24-'Owner Occupier'!$D$52)/('Owner Occupier'!$D$56-'Owner Occupier'!$D$52)*B270</f>
        <v>819.73493173073587</v>
      </c>
      <c r="G270" s="4">
        <f t="shared" si="14"/>
        <v>141899.58061115796</v>
      </c>
    </row>
    <row r="271" spans="1:7" x14ac:dyDescent="0.25">
      <c r="A271">
        <v>268</v>
      </c>
      <c r="B271" s="4">
        <f>-PPMT('Owner Occupier'!$D$41/12,'FHA Amotization'!$A271,360,'Owner Occupier'!$D$40,0,0)</f>
        <v>1728.973180087213</v>
      </c>
      <c r="C271" s="4">
        <f>-IPMT('Owner Occupier'!$D$41/12,'FHA Amotization'!$A271,360,'Owner Occupier'!$D$40,0,0)</f>
        <v>673.07264186530858</v>
      </c>
      <c r="D271" s="4">
        <f t="shared" si="12"/>
        <v>2402.0458219525217</v>
      </c>
      <c r="E271" s="3">
        <f t="shared" si="13"/>
        <v>188315.06687600014</v>
      </c>
      <c r="F271" s="4">
        <f>('Owner Occupier'!$H$24-'Owner Occupier'!$D$52)/('Owner Occupier'!$D$56-'Owner Occupier'!$D$52)*B271</f>
        <v>822.63815961394891</v>
      </c>
      <c r="G271" s="4">
        <f t="shared" si="14"/>
        <v>142722.2187707719</v>
      </c>
    </row>
    <row r="272" spans="1:7" x14ac:dyDescent="0.25">
      <c r="A272">
        <v>269</v>
      </c>
      <c r="B272" s="4">
        <f>-PPMT('Owner Occupier'!$D$41/12,'FHA Amotization'!$A272,360,'Owner Occupier'!$D$40,0,0)</f>
        <v>1735.0966267666886</v>
      </c>
      <c r="C272" s="4">
        <f>-IPMT('Owner Occupier'!$D$41/12,'FHA Amotization'!$A272,360,'Owner Occupier'!$D$40,0,0)</f>
        <v>666.9491951858331</v>
      </c>
      <c r="D272" s="4">
        <f t="shared" si="12"/>
        <v>2402.0458219525217</v>
      </c>
      <c r="E272" s="3">
        <f t="shared" si="13"/>
        <v>186579.97024923345</v>
      </c>
      <c r="F272" s="4">
        <f>('Owner Occupier'!$H$24-'Owner Occupier'!$D$52)/('Owner Occupier'!$D$56-'Owner Occupier'!$D$52)*B272</f>
        <v>825.5516697625817</v>
      </c>
      <c r="G272" s="4">
        <f t="shared" si="14"/>
        <v>143547.77044053448</v>
      </c>
    </row>
    <row r="273" spans="1:7" x14ac:dyDescent="0.25">
      <c r="A273">
        <v>270</v>
      </c>
      <c r="B273" s="4">
        <f>-PPMT('Owner Occupier'!$D$41/12,'FHA Amotization'!$A273,360,'Owner Occupier'!$D$40,0,0)</f>
        <v>1741.2417606531535</v>
      </c>
      <c r="C273" s="4">
        <f>-IPMT('Owner Occupier'!$D$41/12,'FHA Amotization'!$A273,360,'Owner Occupier'!$D$40,0,0)</f>
        <v>660.80406129936762</v>
      </c>
      <c r="D273" s="4">
        <f t="shared" si="12"/>
        <v>2402.0458219525212</v>
      </c>
      <c r="E273" s="3">
        <f t="shared" si="13"/>
        <v>184838.72848858029</v>
      </c>
      <c r="F273" s="4">
        <f>('Owner Occupier'!$H$24-'Owner Occupier'!$D$52)/('Owner Occupier'!$D$56-'Owner Occupier'!$D$52)*B273</f>
        <v>828.47549859299056</v>
      </c>
      <c r="G273" s="4">
        <f t="shared" si="14"/>
        <v>144376.24593912749</v>
      </c>
    </row>
    <row r="274" spans="1:7" x14ac:dyDescent="0.25">
      <c r="A274">
        <v>271</v>
      </c>
      <c r="B274" s="4">
        <f>-PPMT('Owner Occupier'!$D$41/12,'FHA Amotization'!$A274,360,'Owner Occupier'!$D$40,0,0)</f>
        <v>1747.4086585554669</v>
      </c>
      <c r="C274" s="4">
        <f>-IPMT('Owner Occupier'!$D$41/12,'FHA Amotization'!$A274,360,'Owner Occupier'!$D$40,0,0)</f>
        <v>654.63716339705434</v>
      </c>
      <c r="D274" s="4">
        <f t="shared" si="12"/>
        <v>2402.0458219525212</v>
      </c>
      <c r="E274" s="3">
        <f t="shared" si="13"/>
        <v>183091.31983002482</v>
      </c>
      <c r="F274" s="4">
        <f>('Owner Occupier'!$H$24-'Owner Occupier'!$D$52)/('Owner Occupier'!$D$56-'Owner Occupier'!$D$52)*B274</f>
        <v>831.40968265050753</v>
      </c>
      <c r="G274" s="4">
        <f t="shared" si="14"/>
        <v>145207.65562177799</v>
      </c>
    </row>
    <row r="275" spans="1:7" x14ac:dyDescent="0.25">
      <c r="A275">
        <v>272</v>
      </c>
      <c r="B275" s="4">
        <f>-PPMT('Owner Occupier'!$D$41/12,'FHA Amotization'!$A275,360,'Owner Occupier'!$D$40,0,0)</f>
        <v>1753.5973975545178</v>
      </c>
      <c r="C275" s="4">
        <f>-IPMT('Owner Occupier'!$D$41/12,'FHA Amotization'!$A275,360,'Owner Occupier'!$D$40,0,0)</f>
        <v>648.44842439800379</v>
      </c>
      <c r="D275" s="4">
        <f t="shared" si="12"/>
        <v>2402.0458219525217</v>
      </c>
      <c r="E275" s="3">
        <f t="shared" si="13"/>
        <v>181337.7224324703</v>
      </c>
      <c r="F275" s="4">
        <f>('Owner Occupier'!$H$24-'Owner Occupier'!$D$52)/('Owner Occupier'!$D$56-'Owner Occupier'!$D$52)*B275</f>
        <v>834.35425860989483</v>
      </c>
      <c r="G275" s="4">
        <f t="shared" si="14"/>
        <v>146042.00988038789</v>
      </c>
    </row>
    <row r="276" spans="1:7" x14ac:dyDescent="0.25">
      <c r="A276">
        <v>273</v>
      </c>
      <c r="B276" s="4">
        <f>-PPMT('Owner Occupier'!$D$41/12,'FHA Amotization'!$A276,360,'Owner Occupier'!$D$40,0,0)</f>
        <v>1759.8080550041898</v>
      </c>
      <c r="C276" s="4">
        <f>-IPMT('Owner Occupier'!$D$41/12,'FHA Amotization'!$A276,360,'Owner Occupier'!$D$40,0,0)</f>
        <v>642.23776694833157</v>
      </c>
      <c r="D276" s="4">
        <f t="shared" si="12"/>
        <v>2402.0458219525212</v>
      </c>
      <c r="E276" s="3">
        <f t="shared" si="13"/>
        <v>179577.91437746611</v>
      </c>
      <c r="F276" s="4">
        <f>('Owner Occupier'!$H$24-'Owner Occupier'!$D$52)/('Owner Occupier'!$D$56-'Owner Occupier'!$D$52)*B276</f>
        <v>837.30926327580471</v>
      </c>
      <c r="G276" s="4">
        <f t="shared" si="14"/>
        <v>146879.31914366368</v>
      </c>
    </row>
    <row r="277" spans="1:7" x14ac:dyDescent="0.25">
      <c r="A277">
        <v>274</v>
      </c>
      <c r="B277" s="4">
        <f>-PPMT('Owner Occupier'!$D$41/12,'FHA Amotization'!$A277,360,'Owner Occupier'!$D$40,0,0)</f>
        <v>1766.0407085323295</v>
      </c>
      <c r="C277" s="4">
        <f>-IPMT('Owner Occupier'!$D$41/12,'FHA Amotization'!$A277,360,'Owner Occupier'!$D$40,0,0)</f>
        <v>636.00511342019183</v>
      </c>
      <c r="D277" s="4">
        <f t="shared" si="12"/>
        <v>2402.0458219525212</v>
      </c>
      <c r="E277" s="3">
        <f t="shared" si="13"/>
        <v>177811.87366893378</v>
      </c>
      <c r="F277" s="4">
        <f>('Owner Occupier'!$H$24-'Owner Occupier'!$D$52)/('Owner Occupier'!$D$56-'Owner Occupier'!$D$52)*B277</f>
        <v>840.27473358323982</v>
      </c>
      <c r="G277" s="4">
        <f t="shared" si="14"/>
        <v>147719.59387724692</v>
      </c>
    </row>
    <row r="278" spans="1:7" x14ac:dyDescent="0.25">
      <c r="A278">
        <v>275</v>
      </c>
      <c r="B278" s="4">
        <f>-PPMT('Owner Occupier'!$D$41/12,'FHA Amotization'!$A278,360,'Owner Occupier'!$D$40,0,0)</f>
        <v>1772.295436041715</v>
      </c>
      <c r="C278" s="4">
        <f>-IPMT('Owner Occupier'!$D$41/12,'FHA Amotization'!$A278,360,'Owner Occupier'!$D$40,0,0)</f>
        <v>629.75038591080636</v>
      </c>
      <c r="D278" s="4">
        <f t="shared" si="12"/>
        <v>2402.0458219525212</v>
      </c>
      <c r="E278" s="3">
        <f t="shared" si="13"/>
        <v>176039.57823289206</v>
      </c>
      <c r="F278" s="4">
        <f>('Owner Occupier'!$H$24-'Owner Occupier'!$D$52)/('Owner Occupier'!$D$56-'Owner Occupier'!$D$52)*B278</f>
        <v>843.25070659801383</v>
      </c>
      <c r="G278" s="4">
        <f t="shared" si="14"/>
        <v>148562.84458384494</v>
      </c>
    </row>
    <row r="279" spans="1:7" x14ac:dyDescent="0.25">
      <c r="A279">
        <v>276</v>
      </c>
      <c r="B279" s="4">
        <f>-PPMT('Owner Occupier'!$D$41/12,'FHA Amotization'!$A279,360,'Owner Occupier'!$D$40,0,0)</f>
        <v>1778.5723157110294</v>
      </c>
      <c r="C279" s="4">
        <f>-IPMT('Owner Occupier'!$D$41/12,'FHA Amotization'!$A279,360,'Owner Occupier'!$D$40,0,0)</f>
        <v>623.47350624149203</v>
      </c>
      <c r="D279" s="4">
        <f t="shared" si="12"/>
        <v>2402.0458219525217</v>
      </c>
      <c r="E279" s="3">
        <f t="shared" si="13"/>
        <v>174261.00591718103</v>
      </c>
      <c r="F279" s="4">
        <f>('Owner Occupier'!$H$24-'Owner Occupier'!$D$52)/('Owner Occupier'!$D$56-'Owner Occupier'!$D$52)*B279</f>
        <v>846.23721951721518</v>
      </c>
      <c r="G279" s="4">
        <f t="shared" si="14"/>
        <v>149409.08180336215</v>
      </c>
    </row>
    <row r="280" spans="1:7" x14ac:dyDescent="0.25">
      <c r="A280">
        <v>277</v>
      </c>
      <c r="B280" s="4">
        <f>-PPMT('Owner Occupier'!$D$41/12,'FHA Amotization'!$A280,360,'Owner Occupier'!$D$40,0,0)</f>
        <v>1784.8714259958394</v>
      </c>
      <c r="C280" s="4">
        <f>-IPMT('Owner Occupier'!$D$41/12,'FHA Amotization'!$A280,360,'Owner Occupier'!$D$40,0,0)</f>
        <v>617.17439595668213</v>
      </c>
      <c r="D280" s="4">
        <f t="shared" si="12"/>
        <v>2402.0458219525217</v>
      </c>
      <c r="E280" s="3">
        <f t="shared" si="13"/>
        <v>172476.13449118519</v>
      </c>
      <c r="F280" s="4">
        <f>('Owner Occupier'!$H$24-'Owner Occupier'!$D$52)/('Owner Occupier'!$D$56-'Owner Occupier'!$D$52)*B280</f>
        <v>849.23430966967203</v>
      </c>
      <c r="G280" s="4">
        <f t="shared" si="14"/>
        <v>150258.31611303182</v>
      </c>
    </row>
    <row r="281" spans="1:7" x14ac:dyDescent="0.25">
      <c r="A281">
        <v>278</v>
      </c>
      <c r="B281" s="4">
        <f>-PPMT('Owner Occupier'!$D$41/12,'FHA Amotization'!$A281,360,'Owner Occupier'!$D$40,0,0)</f>
        <v>1791.1928456295745</v>
      </c>
      <c r="C281" s="4">
        <f>-IPMT('Owner Occupier'!$D$41/12,'FHA Amotization'!$A281,360,'Owner Occupier'!$D$40,0,0)</f>
        <v>610.85297632294692</v>
      </c>
      <c r="D281" s="4">
        <f t="shared" si="12"/>
        <v>2402.0458219525217</v>
      </c>
      <c r="E281" s="3">
        <f t="shared" si="13"/>
        <v>170684.94164555561</v>
      </c>
      <c r="F281" s="4">
        <f>('Owner Occupier'!$H$24-'Owner Occupier'!$D$52)/('Owner Occupier'!$D$56-'Owner Occupier'!$D$52)*B281</f>
        <v>852.24201451641875</v>
      </c>
      <c r="G281" s="4">
        <f t="shared" si="14"/>
        <v>151110.55812754823</v>
      </c>
    </row>
    <row r="282" spans="1:7" x14ac:dyDescent="0.25">
      <c r="A282">
        <v>279</v>
      </c>
      <c r="B282" s="4">
        <f>-PPMT('Owner Occupier'!$D$41/12,'FHA Amotization'!$A282,360,'Owner Occupier'!$D$40,0,0)</f>
        <v>1797.5366536245128</v>
      </c>
      <c r="C282" s="4">
        <f>-IPMT('Owner Occupier'!$D$41/12,'FHA Amotization'!$A282,360,'Owner Occupier'!$D$40,0,0)</f>
        <v>604.50916832800874</v>
      </c>
      <c r="D282" s="4">
        <f t="shared" si="12"/>
        <v>2402.0458219525217</v>
      </c>
      <c r="E282" s="3">
        <f t="shared" si="13"/>
        <v>168887.40499193111</v>
      </c>
      <c r="F282" s="4">
        <f>('Owner Occupier'!$H$24-'Owner Occupier'!$D$52)/('Owner Occupier'!$D$56-'Owner Occupier'!$D$52)*B282</f>
        <v>855.26037165116452</v>
      </c>
      <c r="G282" s="4">
        <f t="shared" si="14"/>
        <v>151965.81849919938</v>
      </c>
    </row>
    <row r="283" spans="1:7" x14ac:dyDescent="0.25">
      <c r="A283">
        <v>280</v>
      </c>
      <c r="B283" s="4">
        <f>-PPMT('Owner Occupier'!$D$41/12,'FHA Amotization'!$A283,360,'Owner Occupier'!$D$40,0,0)</f>
        <v>1803.9029292727662</v>
      </c>
      <c r="C283" s="4">
        <f>-IPMT('Owner Occupier'!$D$41/12,'FHA Amotization'!$A283,360,'Owner Occupier'!$D$40,0,0)</f>
        <v>598.14289267975528</v>
      </c>
      <c r="D283" s="4">
        <f t="shared" si="12"/>
        <v>2402.0458219525217</v>
      </c>
      <c r="E283" s="3">
        <f t="shared" si="13"/>
        <v>167083.50206265834</v>
      </c>
      <c r="F283" s="4">
        <f>('Owner Occupier'!$H$24-'Owner Occupier'!$D$52)/('Owner Occupier'!$D$56-'Owner Occupier'!$D$52)*B283</f>
        <v>858.28941880076229</v>
      </c>
      <c r="G283" s="4">
        <f t="shared" si="14"/>
        <v>152824.10791800014</v>
      </c>
    </row>
    <row r="284" spans="1:7" x14ac:dyDescent="0.25">
      <c r="A284">
        <v>281</v>
      </c>
      <c r="B284" s="4">
        <f>-PPMT('Owner Occupier'!$D$41/12,'FHA Amotization'!$A284,360,'Owner Occupier'!$D$40,0,0)</f>
        <v>1810.2917521472739</v>
      </c>
      <c r="C284" s="4">
        <f>-IPMT('Owner Occupier'!$D$41/12,'FHA Amotization'!$A284,360,'Owner Occupier'!$D$40,0,0)</f>
        <v>591.75406980524747</v>
      </c>
      <c r="D284" s="4">
        <f t="shared" si="12"/>
        <v>2402.0458219525212</v>
      </c>
      <c r="E284" s="3">
        <f t="shared" si="13"/>
        <v>165273.21031051106</v>
      </c>
      <c r="F284" s="4">
        <f>('Owner Occupier'!$H$24-'Owner Occupier'!$D$52)/('Owner Occupier'!$D$56-'Owner Occupier'!$D$52)*B284</f>
        <v>861.32919382568161</v>
      </c>
      <c r="G284" s="4">
        <f t="shared" si="14"/>
        <v>153685.43711182583</v>
      </c>
    </row>
    <row r="285" spans="1:7" x14ac:dyDescent="0.25">
      <c r="A285">
        <v>282</v>
      </c>
      <c r="B285" s="4">
        <f>-PPMT('Owner Occupier'!$D$41/12,'FHA Amotization'!$A285,360,'Owner Occupier'!$D$40,0,0)</f>
        <v>1816.7032021027953</v>
      </c>
      <c r="C285" s="4">
        <f>-IPMT('Owner Occupier'!$D$41/12,'FHA Amotization'!$A285,360,'Owner Occupier'!$D$40,0,0)</f>
        <v>585.34261984972591</v>
      </c>
      <c r="D285" s="4">
        <f t="shared" si="12"/>
        <v>2402.0458219525212</v>
      </c>
      <c r="E285" s="3">
        <f t="shared" si="13"/>
        <v>163456.50710840826</v>
      </c>
      <c r="F285" s="4">
        <f>('Owner Occupier'!$H$24-'Owner Occupier'!$D$52)/('Owner Occupier'!$D$56-'Owner Occupier'!$D$52)*B285</f>
        <v>864.37973472048088</v>
      </c>
      <c r="G285" s="4">
        <f t="shared" si="14"/>
        <v>154549.81684654631</v>
      </c>
    </row>
    <row r="286" spans="1:7" x14ac:dyDescent="0.25">
      <c r="A286">
        <v>283</v>
      </c>
      <c r="B286" s="4">
        <f>-PPMT('Owner Occupier'!$D$41/12,'FHA Amotization'!$A286,360,'Owner Occupier'!$D$40,0,0)</f>
        <v>1823.1373592769096</v>
      </c>
      <c r="C286" s="4">
        <f>-IPMT('Owner Occupier'!$D$41/12,'FHA Amotization'!$A286,360,'Owner Occupier'!$D$40,0,0)</f>
        <v>578.90846267561176</v>
      </c>
      <c r="D286" s="4">
        <f t="shared" si="12"/>
        <v>2402.0458219525212</v>
      </c>
      <c r="E286" s="3">
        <f t="shared" si="13"/>
        <v>161633.36974913135</v>
      </c>
      <c r="F286" s="4">
        <f>('Owner Occupier'!$H$24-'Owner Occupier'!$D$52)/('Owner Occupier'!$D$56-'Owner Occupier'!$D$52)*B286</f>
        <v>867.44107961428267</v>
      </c>
      <c r="G286" s="4">
        <f t="shared" si="14"/>
        <v>155417.25792616059</v>
      </c>
    </row>
    <row r="287" spans="1:7" x14ac:dyDescent="0.25">
      <c r="A287">
        <v>284</v>
      </c>
      <c r="B287" s="4">
        <f>-PPMT('Owner Occupier'!$D$41/12,'FHA Amotization'!$A287,360,'Owner Occupier'!$D$40,0,0)</f>
        <v>1829.5943040910154</v>
      </c>
      <c r="C287" s="4">
        <f>-IPMT('Owner Occupier'!$D$41/12,'FHA Amotization'!$A287,360,'Owner Occupier'!$D$40,0,0)</f>
        <v>572.4515178615062</v>
      </c>
      <c r="D287" s="4">
        <f t="shared" si="12"/>
        <v>2402.0458219525217</v>
      </c>
      <c r="E287" s="3">
        <f t="shared" si="13"/>
        <v>159803.77544504034</v>
      </c>
      <c r="F287" s="4">
        <f>('Owner Occupier'!$H$24-'Owner Occupier'!$D$52)/('Owner Occupier'!$D$56-'Owner Occupier'!$D$52)*B287</f>
        <v>870.51326677124996</v>
      </c>
      <c r="G287" s="4">
        <f t="shared" si="14"/>
        <v>156287.77119293183</v>
      </c>
    </row>
    <row r="288" spans="1:7" x14ac:dyDescent="0.25">
      <c r="A288">
        <v>285</v>
      </c>
      <c r="B288" s="4">
        <f>-PPMT('Owner Occupier'!$D$41/12,'FHA Amotization'!$A288,360,'Owner Occupier'!$D$40,0,0)</f>
        <v>1836.0741172513376</v>
      </c>
      <c r="C288" s="4">
        <f>-IPMT('Owner Occupier'!$D$41/12,'FHA Amotization'!$A288,360,'Owner Occupier'!$D$40,0,0)</f>
        <v>565.97170470118385</v>
      </c>
      <c r="D288" s="4">
        <f t="shared" si="12"/>
        <v>2402.0458219525217</v>
      </c>
      <c r="E288" s="3">
        <f t="shared" si="13"/>
        <v>157967.70132778899</v>
      </c>
      <c r="F288" s="4">
        <f>('Owner Occupier'!$H$24-'Owner Occupier'!$D$52)/('Owner Occupier'!$D$56-'Owner Occupier'!$D$52)*B288</f>
        <v>873.59633459106476</v>
      </c>
      <c r="G288" s="4">
        <f t="shared" si="14"/>
        <v>157161.3675275229</v>
      </c>
    </row>
    <row r="289" spans="1:7" x14ac:dyDescent="0.25">
      <c r="A289">
        <v>286</v>
      </c>
      <c r="B289" s="4">
        <f>-PPMT('Owner Occupier'!$D$41/12,'FHA Amotization'!$A289,360,'Owner Occupier'!$D$40,0,0)</f>
        <v>1842.5768797499361</v>
      </c>
      <c r="C289" s="4">
        <f>-IPMT('Owner Occupier'!$D$41/12,'FHA Amotization'!$A289,360,'Owner Occupier'!$D$40,0,0)</f>
        <v>559.46894220258537</v>
      </c>
      <c r="D289" s="4">
        <f t="shared" si="12"/>
        <v>2402.0458219525217</v>
      </c>
      <c r="E289" s="3">
        <f t="shared" si="13"/>
        <v>156125.12444803905</v>
      </c>
      <c r="F289" s="4">
        <f>('Owner Occupier'!$H$24-'Owner Occupier'!$D$52)/('Owner Occupier'!$D$56-'Owner Occupier'!$D$52)*B289</f>
        <v>876.6903216094081</v>
      </c>
      <c r="G289" s="4">
        <f t="shared" si="14"/>
        <v>158038.05784913231</v>
      </c>
    </row>
    <row r="290" spans="1:7" x14ac:dyDescent="0.25">
      <c r="A290">
        <v>287</v>
      </c>
      <c r="B290" s="4">
        <f>-PPMT('Owner Occupier'!$D$41/12,'FHA Amotization'!$A290,360,'Owner Occupier'!$D$40,0,0)</f>
        <v>1849.1026728657171</v>
      </c>
      <c r="C290" s="4">
        <f>-IPMT('Owner Occupier'!$D$41/12,'FHA Amotization'!$A290,360,'Owner Occupier'!$D$40,0,0)</f>
        <v>552.94314908680428</v>
      </c>
      <c r="D290" s="4">
        <f t="shared" si="12"/>
        <v>2402.0458219525212</v>
      </c>
      <c r="E290" s="3">
        <f t="shared" si="13"/>
        <v>154276.02177517331</v>
      </c>
      <c r="F290" s="4">
        <f>('Owner Occupier'!$H$24-'Owner Occupier'!$D$52)/('Owner Occupier'!$D$56-'Owner Occupier'!$D$52)*B290</f>
        <v>879.79526649844138</v>
      </c>
      <c r="G290" s="4">
        <f t="shared" si="14"/>
        <v>158917.85311563074</v>
      </c>
    </row>
    <row r="291" spans="1:7" x14ac:dyDescent="0.25">
      <c r="A291">
        <v>288</v>
      </c>
      <c r="B291" s="4">
        <f>-PPMT('Owner Occupier'!$D$41/12,'FHA Amotization'!$A291,360,'Owner Occupier'!$D$40,0,0)</f>
        <v>1855.65157816545</v>
      </c>
      <c r="C291" s="4">
        <f>-IPMT('Owner Occupier'!$D$41/12,'FHA Amotization'!$A291,360,'Owner Occupier'!$D$40,0,0)</f>
        <v>546.39424378707156</v>
      </c>
      <c r="D291" s="4">
        <f t="shared" si="12"/>
        <v>2402.0458219525217</v>
      </c>
      <c r="E291" s="3">
        <f t="shared" si="13"/>
        <v>152420.37019700787</v>
      </c>
      <c r="F291" s="4">
        <f>('Owner Occupier'!$H$24-'Owner Occupier'!$D$52)/('Owner Occupier'!$D$56-'Owner Occupier'!$D$52)*B291</f>
        <v>882.91120806729009</v>
      </c>
      <c r="G291" s="4">
        <f t="shared" si="14"/>
        <v>159800.76432369804</v>
      </c>
    </row>
    <row r="292" spans="1:7" x14ac:dyDescent="0.25">
      <c r="A292">
        <v>289</v>
      </c>
      <c r="B292" s="4">
        <f>-PPMT('Owner Occupier'!$D$41/12,'FHA Amotization'!$A292,360,'Owner Occupier'!$D$40,0,0)</f>
        <v>1862.2236775047859</v>
      </c>
      <c r="C292" s="4">
        <f>-IPMT('Owner Occupier'!$D$41/12,'FHA Amotization'!$A292,360,'Owner Occupier'!$D$40,0,0)</f>
        <v>539.82214444773547</v>
      </c>
      <c r="D292" s="4">
        <f t="shared" si="12"/>
        <v>2402.0458219525212</v>
      </c>
      <c r="E292" s="3">
        <f t="shared" si="13"/>
        <v>150558.14651950309</v>
      </c>
      <c r="F292" s="4">
        <f>('Owner Occupier'!$H$24-'Owner Occupier'!$D$52)/('Owner Occupier'!$D$56-'Owner Occupier'!$D$52)*B292</f>
        <v>886.03818526252837</v>
      </c>
      <c r="G292" s="4">
        <f t="shared" si="14"/>
        <v>160686.80250896057</v>
      </c>
    </row>
    <row r="293" spans="1:7" x14ac:dyDescent="0.25">
      <c r="A293">
        <v>290</v>
      </c>
      <c r="B293" s="4">
        <f>-PPMT('Owner Occupier'!$D$41/12,'FHA Amotization'!$A293,360,'Owner Occupier'!$D$40,0,0)</f>
        <v>1868.819053029282</v>
      </c>
      <c r="C293" s="4">
        <f>-IPMT('Owner Occupier'!$D$41/12,'FHA Amotization'!$A293,360,'Owner Occupier'!$D$40,0,0)</f>
        <v>533.22676892323955</v>
      </c>
      <c r="D293" s="4">
        <f t="shared" si="12"/>
        <v>2402.0458219525217</v>
      </c>
      <c r="E293" s="3">
        <f t="shared" si="13"/>
        <v>148689.3274664738</v>
      </c>
      <c r="F293" s="4">
        <f>('Owner Occupier'!$H$24-'Owner Occupier'!$D$52)/('Owner Occupier'!$D$56-'Owner Occupier'!$D$52)*B293</f>
        <v>889.1762371686666</v>
      </c>
      <c r="G293" s="4">
        <f t="shared" si="14"/>
        <v>161575.97874612923</v>
      </c>
    </row>
    <row r="294" spans="1:7" x14ac:dyDescent="0.25">
      <c r="A294">
        <v>291</v>
      </c>
      <c r="B294" s="4">
        <f>-PPMT('Owner Occupier'!$D$41/12,'FHA Amotization'!$A294,360,'Owner Occupier'!$D$40,0,0)</f>
        <v>1875.4377871754275</v>
      </c>
      <c r="C294" s="4">
        <f>-IPMT('Owner Occupier'!$D$41/12,'FHA Amotization'!$A294,360,'Owner Occupier'!$D$40,0,0)</f>
        <v>526.60803477709396</v>
      </c>
      <c r="D294" s="4">
        <f t="shared" si="12"/>
        <v>2402.0458219525217</v>
      </c>
      <c r="E294" s="3">
        <f t="shared" si="13"/>
        <v>146813.88967929836</v>
      </c>
      <c r="F294" s="4">
        <f>('Owner Occupier'!$H$24-'Owner Occupier'!$D$52)/('Owner Occupier'!$D$56-'Owner Occupier'!$D$52)*B294</f>
        <v>892.325403008639</v>
      </c>
      <c r="G294" s="4">
        <f t="shared" si="14"/>
        <v>162468.30414913787</v>
      </c>
    </row>
    <row r="295" spans="1:7" x14ac:dyDescent="0.25">
      <c r="A295">
        <v>292</v>
      </c>
      <c r="B295" s="4">
        <f>-PPMT('Owner Occupier'!$D$41/12,'FHA Amotization'!$A295,360,'Owner Occupier'!$D$40,0,0)</f>
        <v>1882.0799626716737</v>
      </c>
      <c r="C295" s="4">
        <f>-IPMT('Owner Occupier'!$D$41/12,'FHA Amotization'!$A295,360,'Owner Occupier'!$D$40,0,0)</f>
        <v>519.96585928084767</v>
      </c>
      <c r="D295" s="4">
        <f t="shared" si="12"/>
        <v>2402.0458219525212</v>
      </c>
      <c r="E295" s="3">
        <f t="shared" si="13"/>
        <v>144931.80971662668</v>
      </c>
      <c r="F295" s="4">
        <f>('Owner Occupier'!$H$24-'Owner Occupier'!$D$52)/('Owner Occupier'!$D$56-'Owner Occupier'!$D$52)*B295</f>
        <v>895.48572214429453</v>
      </c>
      <c r="G295" s="4">
        <f t="shared" si="14"/>
        <v>163363.78987128218</v>
      </c>
    </row>
    <row r="296" spans="1:7" x14ac:dyDescent="0.25">
      <c r="A296">
        <v>293</v>
      </c>
      <c r="B296" s="4">
        <f>-PPMT('Owner Occupier'!$D$41/12,'FHA Amotization'!$A296,360,'Owner Occupier'!$D$40,0,0)</f>
        <v>1888.7456625394695</v>
      </c>
      <c r="C296" s="4">
        <f>-IPMT('Owner Occupier'!$D$41/12,'FHA Amotization'!$A296,360,'Owner Occupier'!$D$40,0,0)</f>
        <v>513.30015941305214</v>
      </c>
      <c r="D296" s="4">
        <f t="shared" si="12"/>
        <v>2402.0458219525217</v>
      </c>
      <c r="E296" s="3">
        <f t="shared" si="13"/>
        <v>143043.06405408721</v>
      </c>
      <c r="F296" s="4">
        <f>('Owner Occupier'!$H$24-'Owner Occupier'!$D$52)/('Owner Occupier'!$D$56-'Owner Occupier'!$D$52)*B296</f>
        <v>898.65723407688904</v>
      </c>
      <c r="G296" s="4">
        <f t="shared" si="14"/>
        <v>164262.44710535905</v>
      </c>
    </row>
    <row r="297" spans="1:7" x14ac:dyDescent="0.25">
      <c r="A297">
        <v>294</v>
      </c>
      <c r="B297" s="4">
        <f>-PPMT('Owner Occupier'!$D$41/12,'FHA Amotization'!$A297,360,'Owner Occupier'!$D$40,0,0)</f>
        <v>1895.4349700942964</v>
      </c>
      <c r="C297" s="4">
        <f>-IPMT('Owner Occupier'!$D$41/12,'FHA Amotization'!$A297,360,'Owner Occupier'!$D$40,0,0)</f>
        <v>506.61085185822498</v>
      </c>
      <c r="D297" s="4">
        <f t="shared" si="12"/>
        <v>2402.0458219525212</v>
      </c>
      <c r="E297" s="3">
        <f t="shared" si="13"/>
        <v>141147.62908399291</v>
      </c>
      <c r="F297" s="4">
        <f>('Owner Occupier'!$H$24-'Owner Occupier'!$D$52)/('Owner Occupier'!$D$56-'Owner Occupier'!$D$52)*B297</f>
        <v>901.83997844757778</v>
      </c>
      <c r="G297" s="4">
        <f t="shared" si="14"/>
        <v>165164.28708380664</v>
      </c>
    </row>
    <row r="298" spans="1:7" x14ac:dyDescent="0.25">
      <c r="A298">
        <v>295</v>
      </c>
      <c r="B298" s="4">
        <f>-PPMT('Owner Occupier'!$D$41/12,'FHA Amotization'!$A298,360,'Owner Occupier'!$D$40,0,0)</f>
        <v>1902.1479689467135</v>
      </c>
      <c r="C298" s="4">
        <f>-IPMT('Owner Occupier'!$D$41/12,'FHA Amotization'!$A298,360,'Owner Occupier'!$D$40,0,0)</f>
        <v>499.89785300580763</v>
      </c>
      <c r="D298" s="4">
        <f t="shared" si="12"/>
        <v>2402.0458219525212</v>
      </c>
      <c r="E298" s="3">
        <f t="shared" si="13"/>
        <v>139245.48111504619</v>
      </c>
      <c r="F298" s="4">
        <f>('Owner Occupier'!$H$24-'Owner Occupier'!$D$52)/('Owner Occupier'!$D$56-'Owner Occupier'!$D$52)*B298</f>
        <v>905.03399503791286</v>
      </c>
      <c r="G298" s="4">
        <f t="shared" si="14"/>
        <v>166069.32107884454</v>
      </c>
    </row>
    <row r="299" spans="1:7" x14ac:dyDescent="0.25">
      <c r="A299">
        <v>296</v>
      </c>
      <c r="B299" s="4">
        <f>-PPMT('Owner Occupier'!$D$41/12,'FHA Amotization'!$A299,360,'Owner Occupier'!$D$40,0,0)</f>
        <v>1908.8847430033998</v>
      </c>
      <c r="C299" s="4">
        <f>-IPMT('Owner Occupier'!$D$41/12,'FHA Amotization'!$A299,360,'Owner Occupier'!$D$40,0,0)</f>
        <v>493.16107894912136</v>
      </c>
      <c r="D299" s="4">
        <f t="shared" si="12"/>
        <v>2402.0458219525212</v>
      </c>
      <c r="E299" s="3">
        <f t="shared" si="13"/>
        <v>137336.59637204278</v>
      </c>
      <c r="F299" s="4">
        <f>('Owner Occupier'!$H$24-'Owner Occupier'!$D$52)/('Owner Occupier'!$D$56-'Owner Occupier'!$D$52)*B299</f>
        <v>908.23932377033884</v>
      </c>
      <c r="G299" s="4">
        <f t="shared" si="14"/>
        <v>166977.56040261488</v>
      </c>
    </row>
    <row r="300" spans="1:7" x14ac:dyDescent="0.25">
      <c r="A300">
        <v>297</v>
      </c>
      <c r="B300" s="4">
        <f>-PPMT('Owner Occupier'!$D$41/12,'FHA Amotization'!$A300,360,'Owner Occupier'!$D$40,0,0)</f>
        <v>1915.6453764682035</v>
      </c>
      <c r="C300" s="4">
        <f>-IPMT('Owner Occupier'!$D$41/12,'FHA Amotization'!$A300,360,'Owner Occupier'!$D$40,0,0)</f>
        <v>486.40044548431763</v>
      </c>
      <c r="D300" s="4">
        <f t="shared" si="12"/>
        <v>2402.0458219525212</v>
      </c>
      <c r="E300" s="3">
        <f t="shared" si="13"/>
        <v>135420.95099557459</v>
      </c>
      <c r="F300" s="4">
        <f>('Owner Occupier'!$H$24-'Owner Occupier'!$D$52)/('Owner Occupier'!$D$56-'Owner Occupier'!$D$52)*B300</f>
        <v>911.45600470869215</v>
      </c>
      <c r="G300" s="4">
        <f t="shared" si="14"/>
        <v>167889.01640732356</v>
      </c>
    </row>
    <row r="301" spans="1:7" x14ac:dyDescent="0.25">
      <c r="A301">
        <v>298</v>
      </c>
      <c r="B301" s="4">
        <f>-PPMT('Owner Occupier'!$D$41/12,'FHA Amotization'!$A301,360,'Owner Occupier'!$D$40,0,0)</f>
        <v>1922.4299538431951</v>
      </c>
      <c r="C301" s="4">
        <f>-IPMT('Owner Occupier'!$D$41/12,'FHA Amotization'!$A301,360,'Owner Occupier'!$D$40,0,0)</f>
        <v>479.61586810932607</v>
      </c>
      <c r="D301" s="4">
        <f t="shared" si="12"/>
        <v>2402.0458219525212</v>
      </c>
      <c r="E301" s="3">
        <f t="shared" si="13"/>
        <v>133498.52104173141</v>
      </c>
      <c r="F301" s="4">
        <f>('Owner Occupier'!$H$24-'Owner Occupier'!$D$52)/('Owner Occupier'!$D$56-'Owner Occupier'!$D$52)*B301</f>
        <v>914.68407805870208</v>
      </c>
      <c r="G301" s="4">
        <f t="shared" si="14"/>
        <v>168803.70048538226</v>
      </c>
    </row>
    <row r="302" spans="1:7" x14ac:dyDescent="0.25">
      <c r="A302">
        <v>299</v>
      </c>
      <c r="B302" s="4">
        <f>-PPMT('Owner Occupier'!$D$41/12,'FHA Amotization'!$A302,360,'Owner Occupier'!$D$40,0,0)</f>
        <v>1929.2385599297234</v>
      </c>
      <c r="C302" s="4">
        <f>-IPMT('Owner Occupier'!$D$41/12,'FHA Amotization'!$A302,360,'Owner Occupier'!$D$40,0,0)</f>
        <v>472.80726202279817</v>
      </c>
      <c r="D302" s="4">
        <f t="shared" si="12"/>
        <v>2402.0458219525217</v>
      </c>
      <c r="E302" s="3">
        <f t="shared" si="13"/>
        <v>131569.2824818017</v>
      </c>
      <c r="F302" s="4">
        <f>('Owner Occupier'!$H$24-'Owner Occupier'!$D$52)/('Owner Occupier'!$D$56-'Owner Occupier'!$D$52)*B302</f>
        <v>917.92358416849345</v>
      </c>
      <c r="G302" s="4">
        <f t="shared" si="14"/>
        <v>169721.62406955074</v>
      </c>
    </row>
    <row r="303" spans="1:7" x14ac:dyDescent="0.25">
      <c r="A303">
        <v>300</v>
      </c>
      <c r="B303" s="4">
        <f>-PPMT('Owner Occupier'!$D$41/12,'FHA Amotization'!$A303,360,'Owner Occupier'!$D$40,0,0)</f>
        <v>1936.0712798294744</v>
      </c>
      <c r="C303" s="4">
        <f>-IPMT('Owner Occupier'!$D$41/12,'FHA Amotization'!$A303,360,'Owner Occupier'!$D$40,0,0)</f>
        <v>465.97454212304712</v>
      </c>
      <c r="D303" s="4">
        <f t="shared" si="12"/>
        <v>2402.0458219525217</v>
      </c>
      <c r="E303" s="3">
        <f t="shared" si="13"/>
        <v>129633.21120197223</v>
      </c>
      <c r="F303" s="4">
        <f>('Owner Occupier'!$H$24-'Owner Occupier'!$D$52)/('Owner Occupier'!$D$56-'Owner Occupier'!$D$52)*B303</f>
        <v>921.17456352909016</v>
      </c>
      <c r="G303" s="4">
        <f t="shared" si="14"/>
        <v>170642.79863307983</v>
      </c>
    </row>
    <row r="304" spans="1:7" x14ac:dyDescent="0.25">
      <c r="A304">
        <v>301</v>
      </c>
      <c r="B304" s="4">
        <f>-PPMT('Owner Occupier'!$D$41/12,'FHA Amotization'!$A304,360,'Owner Occupier'!$D$40,0,0)</f>
        <v>1942.9281989455374</v>
      </c>
      <c r="C304" s="4">
        <f>-IPMT('Owner Occupier'!$D$41/12,'FHA Amotization'!$A304,360,'Owner Occupier'!$D$40,0,0)</f>
        <v>459.11762300698433</v>
      </c>
      <c r="D304" s="4">
        <f t="shared" si="12"/>
        <v>2402.0458219525217</v>
      </c>
      <c r="E304" s="3">
        <f t="shared" si="13"/>
        <v>127690.28300302669</v>
      </c>
      <c r="F304" s="4">
        <f>('Owner Occupier'!$H$24-'Owner Occupier'!$D$52)/('Owner Occupier'!$D$56-'Owner Occupier'!$D$52)*B304</f>
        <v>924.43705677492244</v>
      </c>
      <c r="G304" s="4">
        <f t="shared" si="14"/>
        <v>171567.23568985474</v>
      </c>
    </row>
    <row r="305" spans="1:7" x14ac:dyDescent="0.25">
      <c r="A305">
        <v>302</v>
      </c>
      <c r="B305" s="4">
        <f>-PPMT('Owner Occupier'!$D$41/12,'FHA Amotization'!$A305,360,'Owner Occupier'!$D$40,0,0)</f>
        <v>1949.8094029834692</v>
      </c>
      <c r="C305" s="4">
        <f>-IPMT('Owner Occupier'!$D$41/12,'FHA Amotization'!$A305,360,'Owner Occupier'!$D$40,0,0)</f>
        <v>452.23641896905229</v>
      </c>
      <c r="D305" s="4">
        <f t="shared" si="12"/>
        <v>2402.0458219525217</v>
      </c>
      <c r="E305" s="3">
        <f t="shared" si="13"/>
        <v>125740.47360004322</v>
      </c>
      <c r="F305" s="4">
        <f>('Owner Occupier'!$H$24-'Owner Occupier'!$D$52)/('Owner Occupier'!$D$56-'Owner Occupier'!$D$52)*B305</f>
        <v>927.71110468433358</v>
      </c>
      <c r="G305" s="4">
        <f t="shared" si="14"/>
        <v>172494.94679453908</v>
      </c>
    </row>
    <row r="306" spans="1:7" x14ac:dyDescent="0.25">
      <c r="A306">
        <v>303</v>
      </c>
      <c r="B306" s="4">
        <f>-PPMT('Owner Occupier'!$D$41/12,'FHA Amotization'!$A306,360,'Owner Occupier'!$D$40,0,0)</f>
        <v>1956.7149779523691</v>
      </c>
      <c r="C306" s="4">
        <f>-IPMT('Owner Occupier'!$D$41/12,'FHA Amotization'!$A306,360,'Owner Occupier'!$D$40,0,0)</f>
        <v>445.33084400015235</v>
      </c>
      <c r="D306" s="4">
        <f t="shared" si="12"/>
        <v>2402.0458219525212</v>
      </c>
      <c r="E306" s="3">
        <f t="shared" si="13"/>
        <v>123783.75862209084</v>
      </c>
      <c r="F306" s="4">
        <f>('Owner Occupier'!$H$24-'Owner Occupier'!$D$52)/('Owner Occupier'!$D$56-'Owner Occupier'!$D$52)*B306</f>
        <v>930.99674818009055</v>
      </c>
      <c r="G306" s="4">
        <f t="shared" si="14"/>
        <v>173425.94354271918</v>
      </c>
    </row>
    <row r="307" spans="1:7" x14ac:dyDescent="0.25">
      <c r="A307">
        <v>304</v>
      </c>
      <c r="B307" s="4">
        <f>-PPMT('Owner Occupier'!$D$41/12,'FHA Amotization'!$A307,360,'Owner Occupier'!$D$40,0,0)</f>
        <v>1963.6450101659502</v>
      </c>
      <c r="C307" s="4">
        <f>-IPMT('Owner Occupier'!$D$41/12,'FHA Amotization'!$A307,360,'Owner Occupier'!$D$40,0,0)</f>
        <v>438.40081178657113</v>
      </c>
      <c r="D307" s="4">
        <f t="shared" si="12"/>
        <v>2402.0458219525212</v>
      </c>
      <c r="E307" s="3">
        <f t="shared" si="13"/>
        <v>121820.1136119249</v>
      </c>
      <c r="F307" s="4">
        <f>('Owner Occupier'!$H$24-'Owner Occupier'!$D$52)/('Owner Occupier'!$D$56-'Owner Occupier'!$D$52)*B307</f>
        <v>934.29402832989501</v>
      </c>
      <c r="G307" s="4">
        <f t="shared" si="14"/>
        <v>174360.23757104907</v>
      </c>
    </row>
    <row r="308" spans="1:7" x14ac:dyDescent="0.25">
      <c r="A308">
        <v>305</v>
      </c>
      <c r="B308" s="4">
        <f>-PPMT('Owner Occupier'!$D$41/12,'FHA Amotization'!$A308,360,'Owner Occupier'!$D$40,0,0)</f>
        <v>1970.5995862436214</v>
      </c>
      <c r="C308" s="4">
        <f>-IPMT('Owner Occupier'!$D$41/12,'FHA Amotization'!$A308,360,'Owner Occupier'!$D$40,0,0)</f>
        <v>431.44623570890002</v>
      </c>
      <c r="D308" s="4">
        <f t="shared" si="12"/>
        <v>2402.0458219525212</v>
      </c>
      <c r="E308" s="3">
        <f t="shared" si="13"/>
        <v>119849.51402568127</v>
      </c>
      <c r="F308" s="4">
        <f>('Owner Occupier'!$H$24-'Owner Occupier'!$D$52)/('Owner Occupier'!$D$56-'Owner Occupier'!$D$52)*B308</f>
        <v>937.60298634689673</v>
      </c>
      <c r="G308" s="4">
        <f t="shared" si="14"/>
        <v>175297.84055739598</v>
      </c>
    </row>
    <row r="309" spans="1:7" x14ac:dyDescent="0.25">
      <c r="A309">
        <v>306</v>
      </c>
      <c r="B309" s="4">
        <f>-PPMT('Owner Occupier'!$D$41/12,'FHA Amotization'!$A309,360,'Owner Occupier'!$D$40,0,0)</f>
        <v>1977.5787931115676</v>
      </c>
      <c r="C309" s="4">
        <f>-IPMT('Owner Occupier'!$D$41/12,'FHA Amotization'!$A309,360,'Owner Occupier'!$D$40,0,0)</f>
        <v>424.46702884095384</v>
      </c>
      <c r="D309" s="4">
        <f t="shared" si="12"/>
        <v>2402.0458219525217</v>
      </c>
      <c r="E309" s="3">
        <f t="shared" si="13"/>
        <v>117871.93523256971</v>
      </c>
      <c r="F309" s="4">
        <f>('Owner Occupier'!$H$24-'Owner Occupier'!$D$52)/('Owner Occupier'!$D$56-'Owner Occupier'!$D$52)*B309</f>
        <v>940.92366359020878</v>
      </c>
      <c r="G309" s="4">
        <f t="shared" si="14"/>
        <v>176238.7642209862</v>
      </c>
    </row>
    <row r="310" spans="1:7" x14ac:dyDescent="0.25">
      <c r="A310">
        <v>307</v>
      </c>
      <c r="B310" s="4">
        <f>-PPMT('Owner Occupier'!$D$41/12,'FHA Amotization'!$A310,360,'Owner Occupier'!$D$40,0,0)</f>
        <v>1984.5827180038375</v>
      </c>
      <c r="C310" s="4">
        <f>-IPMT('Owner Occupier'!$D$41/12,'FHA Amotization'!$A310,360,'Owner Occupier'!$D$40,0,0)</f>
        <v>417.46310394868368</v>
      </c>
      <c r="D310" s="4">
        <f t="shared" si="12"/>
        <v>2402.0458219525212</v>
      </c>
      <c r="E310" s="3">
        <f t="shared" si="13"/>
        <v>115887.35251456588</v>
      </c>
      <c r="F310" s="4">
        <f>('Owner Occupier'!$H$24-'Owner Occupier'!$D$52)/('Owner Occupier'!$D$56-'Owner Occupier'!$D$52)*B310</f>
        <v>944.25610156542393</v>
      </c>
      <c r="G310" s="4">
        <f t="shared" si="14"/>
        <v>177183.02032255163</v>
      </c>
    </row>
    <row r="311" spans="1:7" x14ac:dyDescent="0.25">
      <c r="A311">
        <v>308</v>
      </c>
      <c r="B311" s="4">
        <f>-PPMT('Owner Occupier'!$D$41/12,'FHA Amotization'!$A311,360,'Owner Occupier'!$D$40,0,0)</f>
        <v>1991.6114484634345</v>
      </c>
      <c r="C311" s="4">
        <f>-IPMT('Owner Occupier'!$D$41/12,'FHA Amotization'!$A311,360,'Owner Occupier'!$D$40,0,0)</f>
        <v>410.43437348908674</v>
      </c>
      <c r="D311" s="4">
        <f t="shared" si="12"/>
        <v>2402.0458219525212</v>
      </c>
      <c r="E311" s="3">
        <f t="shared" si="13"/>
        <v>113895.74106610245</v>
      </c>
      <c r="F311" s="4">
        <f>('Owner Occupier'!$H$24-'Owner Occupier'!$D$52)/('Owner Occupier'!$D$56-'Owner Occupier'!$D$52)*B311</f>
        <v>947.60034192513479</v>
      </c>
      <c r="G311" s="4">
        <f t="shared" si="14"/>
        <v>178130.62066447677</v>
      </c>
    </row>
    <row r="312" spans="1:7" x14ac:dyDescent="0.25">
      <c r="A312">
        <v>309</v>
      </c>
      <c r="B312" s="4">
        <f>-PPMT('Owner Occupier'!$D$41/12,'FHA Amotization'!$A312,360,'Owner Occupier'!$D$40,0,0)</f>
        <v>1998.6650723434095</v>
      </c>
      <c r="C312" s="4">
        <f>-IPMT('Owner Occupier'!$D$41/12,'FHA Amotization'!$A312,360,'Owner Occupier'!$D$40,0,0)</f>
        <v>403.38074960911212</v>
      </c>
      <c r="D312" s="4">
        <f t="shared" si="12"/>
        <v>2402.0458219525217</v>
      </c>
      <c r="E312" s="3">
        <f t="shared" si="13"/>
        <v>111897.07599375903</v>
      </c>
      <c r="F312" s="4">
        <f>('Owner Occupier'!$H$24-'Owner Occupier'!$D$52)/('Owner Occupier'!$D$56-'Owner Occupier'!$D$52)*B312</f>
        <v>950.95642646945316</v>
      </c>
      <c r="G312" s="4">
        <f t="shared" si="14"/>
        <v>179081.57709094623</v>
      </c>
    </row>
    <row r="313" spans="1:7" x14ac:dyDescent="0.25">
      <c r="A313">
        <v>310</v>
      </c>
      <c r="B313" s="4">
        <f>-PPMT('Owner Occupier'!$D$41/12,'FHA Amotization'!$A313,360,'Owner Occupier'!$D$40,0,0)</f>
        <v>2005.7436778079586</v>
      </c>
      <c r="C313" s="4">
        <f>-IPMT('Owner Occupier'!$D$41/12,'FHA Amotization'!$A313,360,'Owner Occupier'!$D$40,0,0)</f>
        <v>396.30214414456248</v>
      </c>
      <c r="D313" s="4">
        <f t="shared" si="12"/>
        <v>2402.0458219525212</v>
      </c>
      <c r="E313" s="3">
        <f t="shared" si="13"/>
        <v>109891.33231595108</v>
      </c>
      <c r="F313" s="4">
        <f>('Owner Occupier'!$H$24-'Owner Occupier'!$D$52)/('Owner Occupier'!$D$56-'Owner Occupier'!$D$52)*B313</f>
        <v>954.32439714653231</v>
      </c>
      <c r="G313" s="4">
        <f t="shared" si="14"/>
        <v>180035.90148809276</v>
      </c>
    </row>
    <row r="314" spans="1:7" x14ac:dyDescent="0.25">
      <c r="A314">
        <v>311</v>
      </c>
      <c r="B314" s="4">
        <f>-PPMT('Owner Occupier'!$D$41/12,'FHA Amotization'!$A314,360,'Owner Occupier'!$D$40,0,0)</f>
        <v>2012.8473533335286</v>
      </c>
      <c r="C314" s="4">
        <f>-IPMT('Owner Occupier'!$D$41/12,'FHA Amotization'!$A314,360,'Owner Occupier'!$D$40,0,0)</f>
        <v>389.19846861899265</v>
      </c>
      <c r="D314" s="4">
        <f t="shared" si="12"/>
        <v>2402.0458219525212</v>
      </c>
      <c r="E314" s="3">
        <f t="shared" si="13"/>
        <v>107878.48496261754</v>
      </c>
      <c r="F314" s="4">
        <f>('Owner Occupier'!$H$24-'Owner Occupier'!$D$52)/('Owner Occupier'!$D$56-'Owner Occupier'!$D$52)*B314</f>
        <v>957.704296053093</v>
      </c>
      <c r="G314" s="4">
        <f t="shared" si="14"/>
        <v>180993.60578414585</v>
      </c>
    </row>
    <row r="315" spans="1:7" x14ac:dyDescent="0.25">
      <c r="A315">
        <v>312</v>
      </c>
      <c r="B315" s="4">
        <f>-PPMT('Owner Occupier'!$D$41/12,'FHA Amotization'!$A315,360,'Owner Occupier'!$D$40,0,0)</f>
        <v>2019.9761877099186</v>
      </c>
      <c r="C315" s="4">
        <f>-IPMT('Owner Occupier'!$D$41/12,'FHA Amotization'!$A315,360,'Owner Occupier'!$D$40,0,0)</f>
        <v>382.06963424260312</v>
      </c>
      <c r="D315" s="4">
        <f t="shared" si="12"/>
        <v>2402.0458219525217</v>
      </c>
      <c r="E315" s="3">
        <f t="shared" si="13"/>
        <v>105858.50877490762</v>
      </c>
      <c r="F315" s="4">
        <f>('Owner Occupier'!$H$24-'Owner Occupier'!$D$52)/('Owner Occupier'!$D$56-'Owner Occupier'!$D$52)*B315</f>
        <v>961.09616543494792</v>
      </c>
      <c r="G315" s="4">
        <f t="shared" si="14"/>
        <v>181954.70194958081</v>
      </c>
    </row>
    <row r="316" spans="1:7" x14ac:dyDescent="0.25">
      <c r="A316">
        <v>313</v>
      </c>
      <c r="B316" s="4">
        <f>-PPMT('Owner Occupier'!$D$41/12,'FHA Amotization'!$A316,360,'Owner Occupier'!$D$40,0,0)</f>
        <v>2027.1302700413912</v>
      </c>
      <c r="C316" s="4">
        <f>-IPMT('Owner Occupier'!$D$41/12,'FHA Amotization'!$A316,360,'Owner Occupier'!$D$40,0,0)</f>
        <v>374.91555191113054</v>
      </c>
      <c r="D316" s="4">
        <f t="shared" si="12"/>
        <v>2402.0458219525217</v>
      </c>
      <c r="E316" s="3">
        <f t="shared" si="13"/>
        <v>103831.37850486622</v>
      </c>
      <c r="F316" s="4">
        <f>('Owner Occupier'!$H$24-'Owner Occupier'!$D$52)/('Owner Occupier'!$D$56-'Owner Occupier'!$D$52)*B316</f>
        <v>964.50004768753001</v>
      </c>
      <c r="G316" s="4">
        <f t="shared" si="14"/>
        <v>182919.20199726833</v>
      </c>
    </row>
    <row r="317" spans="1:7" x14ac:dyDescent="0.25">
      <c r="A317">
        <v>314</v>
      </c>
      <c r="B317" s="4">
        <f>-PPMT('Owner Occupier'!$D$41/12,'FHA Amotization'!$A317,360,'Owner Occupier'!$D$40,0,0)</f>
        <v>2034.3096897477874</v>
      </c>
      <c r="C317" s="4">
        <f>-IPMT('Owner Occupier'!$D$41/12,'FHA Amotization'!$A317,360,'Owner Occupier'!$D$40,0,0)</f>
        <v>367.73613220473385</v>
      </c>
      <c r="D317" s="4">
        <f t="shared" si="12"/>
        <v>2402.0458219525212</v>
      </c>
      <c r="E317" s="3">
        <f t="shared" si="13"/>
        <v>101797.06881511844</v>
      </c>
      <c r="F317" s="4">
        <f>('Owner Occupier'!$H$24-'Owner Occupier'!$D$52)/('Owner Occupier'!$D$56-'Owner Occupier'!$D$52)*B317</f>
        <v>967.91598535642311</v>
      </c>
      <c r="G317" s="4">
        <f t="shared" si="14"/>
        <v>183887.11798262477</v>
      </c>
    </row>
    <row r="318" spans="1:7" x14ac:dyDescent="0.25">
      <c r="A318">
        <v>315</v>
      </c>
      <c r="B318" s="4">
        <f>-PPMT('Owner Occupier'!$D$41/12,'FHA Amotization'!$A318,360,'Owner Occupier'!$D$40,0,0)</f>
        <v>2041.5145365656442</v>
      </c>
      <c r="C318" s="4">
        <f>-IPMT('Owner Occupier'!$D$41/12,'FHA Amotization'!$A318,360,'Owner Occupier'!$D$40,0,0)</f>
        <v>360.53128538687713</v>
      </c>
      <c r="D318" s="4">
        <f t="shared" si="12"/>
        <v>2402.0458219525212</v>
      </c>
      <c r="E318" s="3">
        <f t="shared" si="13"/>
        <v>99755.554278552794</v>
      </c>
      <c r="F318" s="4">
        <f>('Owner Occupier'!$H$24-'Owner Occupier'!$D$52)/('Owner Occupier'!$D$56-'Owner Occupier'!$D$52)*B318</f>
        <v>971.34402113789383</v>
      </c>
      <c r="G318" s="4">
        <f t="shared" si="14"/>
        <v>184858.46200376266</v>
      </c>
    </row>
    <row r="319" spans="1:7" x14ac:dyDescent="0.25">
      <c r="A319">
        <v>316</v>
      </c>
      <c r="B319" s="4">
        <f>-PPMT('Owner Occupier'!$D$41/12,'FHA Amotization'!$A319,360,'Owner Occupier'!$D$40,0,0)</f>
        <v>2048.7449005493145</v>
      </c>
      <c r="C319" s="4">
        <f>-IPMT('Owner Occupier'!$D$41/12,'FHA Amotization'!$A319,360,'Owner Occupier'!$D$40,0,0)</f>
        <v>353.3009214032071</v>
      </c>
      <c r="D319" s="4">
        <f t="shared" si="12"/>
        <v>2402.0458219525217</v>
      </c>
      <c r="E319" s="3">
        <f t="shared" si="13"/>
        <v>97706.809378003483</v>
      </c>
      <c r="F319" s="4">
        <f>('Owner Occupier'!$H$24-'Owner Occupier'!$D$52)/('Owner Occupier'!$D$56-'Owner Occupier'!$D$52)*B319</f>
        <v>974.78419787942403</v>
      </c>
      <c r="G319" s="4">
        <f t="shared" si="14"/>
        <v>185833.24620164209</v>
      </c>
    </row>
    <row r="320" spans="1:7" x14ac:dyDescent="0.25">
      <c r="A320">
        <v>317</v>
      </c>
      <c r="B320" s="4">
        <f>-PPMT('Owner Occupier'!$D$41/12,'FHA Amotization'!$A320,360,'Owner Occupier'!$D$40,0,0)</f>
        <v>2056.000872072093</v>
      </c>
      <c r="C320" s="4">
        <f>-IPMT('Owner Occupier'!$D$41/12,'FHA Amotization'!$A320,360,'Owner Occupier'!$D$40,0,0)</f>
        <v>346.04494988042831</v>
      </c>
      <c r="D320" s="4">
        <f t="shared" si="12"/>
        <v>2402.0458219525212</v>
      </c>
      <c r="E320" s="3">
        <f t="shared" si="13"/>
        <v>95650.808505931389</v>
      </c>
      <c r="F320" s="4">
        <f>('Owner Occupier'!$H$24-'Owner Occupier'!$D$52)/('Owner Occupier'!$D$56-'Owner Occupier'!$D$52)*B320</f>
        <v>978.23655858024676</v>
      </c>
      <c r="G320" s="4">
        <f t="shared" si="14"/>
        <v>186811.48276022234</v>
      </c>
    </row>
    <row r="321" spans="1:7" x14ac:dyDescent="0.25">
      <c r="A321">
        <v>318</v>
      </c>
      <c r="B321" s="4">
        <f>-PPMT('Owner Occupier'!$D$41/12,'FHA Amotization'!$A321,360,'Owner Occupier'!$D$40,0,0)</f>
        <v>2063.2825418273483</v>
      </c>
      <c r="C321" s="4">
        <f>-IPMT('Owner Occupier'!$D$41/12,'FHA Amotization'!$A321,360,'Owner Occupier'!$D$40,0,0)</f>
        <v>338.76328012517297</v>
      </c>
      <c r="D321" s="4">
        <f t="shared" si="12"/>
        <v>2402.0458219525212</v>
      </c>
      <c r="E321" s="3">
        <f t="shared" si="13"/>
        <v>93587.525964104047</v>
      </c>
      <c r="F321" s="4">
        <f>('Owner Occupier'!$H$24-'Owner Occupier'!$D$52)/('Owner Occupier'!$D$56-'Owner Occupier'!$D$52)*B321</f>
        <v>981.70114639188512</v>
      </c>
      <c r="G321" s="4">
        <f t="shared" si="14"/>
        <v>187793.18390661423</v>
      </c>
    </row>
    <row r="322" spans="1:7" x14ac:dyDescent="0.25">
      <c r="A322">
        <v>319</v>
      </c>
      <c r="B322" s="4">
        <f>-PPMT('Owner Occupier'!$D$41/12,'FHA Amotization'!$A322,360,'Owner Occupier'!$D$40,0,0)</f>
        <v>2070.5900008296535</v>
      </c>
      <c r="C322" s="4">
        <f>-IPMT('Owner Occupier'!$D$41/12,'FHA Amotization'!$A322,360,'Owner Occupier'!$D$40,0,0)</f>
        <v>331.4558211228678</v>
      </c>
      <c r="D322" s="4">
        <f t="shared" si="12"/>
        <v>2402.0458219525212</v>
      </c>
      <c r="E322" s="3">
        <f t="shared" si="13"/>
        <v>91516.935963274387</v>
      </c>
      <c r="F322" s="4">
        <f>('Owner Occupier'!$H$24-'Owner Occupier'!$D$52)/('Owner Occupier'!$D$56-'Owner Occupier'!$D$52)*B322</f>
        <v>985.17800461868978</v>
      </c>
      <c r="G322" s="4">
        <f t="shared" si="14"/>
        <v>188778.3619112329</v>
      </c>
    </row>
    <row r="323" spans="1:7" x14ac:dyDescent="0.25">
      <c r="A323">
        <v>320</v>
      </c>
      <c r="B323" s="4">
        <f>-PPMT('Owner Occupier'!$D$41/12,'FHA Amotization'!$A323,360,'Owner Occupier'!$D$40,0,0)</f>
        <v>2077.9233404159254</v>
      </c>
      <c r="C323" s="4">
        <f>-IPMT('Owner Occupier'!$D$41/12,'FHA Amotization'!$A323,360,'Owner Occupier'!$D$40,0,0)</f>
        <v>324.12248153659607</v>
      </c>
      <c r="D323" s="4">
        <f t="shared" si="12"/>
        <v>2402.0458219525217</v>
      </c>
      <c r="E323" s="3">
        <f t="shared" si="13"/>
        <v>89439.012622858456</v>
      </c>
      <c r="F323" s="4">
        <f>('Owner Occupier'!$H$24-'Owner Occupier'!$D$52)/('Owner Occupier'!$D$56-'Owner Occupier'!$D$52)*B323</f>
        <v>988.66717671838103</v>
      </c>
      <c r="G323" s="4">
        <f t="shared" si="14"/>
        <v>189767.02908795129</v>
      </c>
    </row>
    <row r="324" spans="1:7" x14ac:dyDescent="0.25">
      <c r="A324">
        <v>321</v>
      </c>
      <c r="B324" s="4">
        <f>-PPMT('Owner Occupier'!$D$41/12,'FHA Amotization'!$A324,360,'Owner Occupier'!$D$40,0,0)</f>
        <v>2085.2826522465648</v>
      </c>
      <c r="C324" s="4">
        <f>-IPMT('Owner Occupier'!$D$41/12,'FHA Amotization'!$A324,360,'Owner Occupier'!$D$40,0,0)</f>
        <v>316.76316970595639</v>
      </c>
      <c r="D324" s="4">
        <f t="shared" si="12"/>
        <v>2402.0458219525212</v>
      </c>
      <c r="E324" s="3">
        <f t="shared" si="13"/>
        <v>87353.729970611894</v>
      </c>
      <c r="F324" s="4">
        <f>('Owner Occupier'!$H$24-'Owner Occupier'!$D$52)/('Owner Occupier'!$D$56-'Owner Occupier'!$D$52)*B324</f>
        <v>992.16870630259177</v>
      </c>
      <c r="G324" s="4">
        <f t="shared" si="14"/>
        <v>190759.19779425388</v>
      </c>
    </row>
    <row r="325" spans="1:7" x14ac:dyDescent="0.25">
      <c r="A325">
        <v>322</v>
      </c>
      <c r="B325" s="4">
        <f>-PPMT('Owner Occupier'!$D$41/12,'FHA Amotization'!$A325,360,'Owner Occupier'!$D$40,0,0)</f>
        <v>2092.6680283066048</v>
      </c>
      <c r="C325" s="4">
        <f>-IPMT('Owner Occupier'!$D$41/12,'FHA Amotization'!$A325,360,'Owner Occupier'!$D$40,0,0)</f>
        <v>309.37779364591648</v>
      </c>
      <c r="D325" s="4">
        <f t="shared" ref="D325:D363" si="15">B325+C325</f>
        <v>2402.0458219525212</v>
      </c>
      <c r="E325" s="3">
        <f t="shared" si="13"/>
        <v>85261.061942305285</v>
      </c>
      <c r="F325" s="4">
        <f>('Owner Occupier'!$H$24-'Owner Occupier'!$D$52)/('Owner Occupier'!$D$56-'Owner Occupier'!$D$52)*B325</f>
        <v>995.68263713741351</v>
      </c>
      <c r="G325" s="4">
        <f t="shared" si="14"/>
        <v>191754.8804313913</v>
      </c>
    </row>
    <row r="326" spans="1:7" x14ac:dyDescent="0.25">
      <c r="A326">
        <v>323</v>
      </c>
      <c r="B326" s="4">
        <f>-PPMT('Owner Occupier'!$D$41/12,'FHA Amotization'!$A326,360,'Owner Occupier'!$D$40,0,0)</f>
        <v>2100.0795609068578</v>
      </c>
      <c r="C326" s="4">
        <f>-IPMT('Owner Occupier'!$D$41/12,'FHA Amotization'!$A326,360,'Owner Occupier'!$D$40,0,0)</f>
        <v>301.96626104566394</v>
      </c>
      <c r="D326" s="4">
        <f t="shared" si="15"/>
        <v>2402.0458219525217</v>
      </c>
      <c r="E326" s="3">
        <f t="shared" ref="E326:E363" si="16">E325-B326</f>
        <v>83160.982381398426</v>
      </c>
      <c r="F326" s="4">
        <f>('Owner Occupier'!$H$24-'Owner Occupier'!$D$52)/('Owner Occupier'!$D$56-'Owner Occupier'!$D$52)*B326</f>
        <v>999.20901314394212</v>
      </c>
      <c r="G326" s="4">
        <f t="shared" ref="G326:G363" si="17">F326+G325</f>
        <v>192754.08944453523</v>
      </c>
    </row>
    <row r="327" spans="1:7" x14ac:dyDescent="0.25">
      <c r="A327">
        <v>324</v>
      </c>
      <c r="B327" s="4">
        <f>-PPMT('Owner Occupier'!$D$41/12,'FHA Amotization'!$A327,360,'Owner Occupier'!$D$40,0,0)</f>
        <v>2107.5173426850693</v>
      </c>
      <c r="C327" s="4">
        <f>-IPMT('Owner Occupier'!$D$41/12,'FHA Amotization'!$A327,360,'Owner Occupier'!$D$40,0,0)</f>
        <v>294.5284792674521</v>
      </c>
      <c r="D327" s="4">
        <f t="shared" si="15"/>
        <v>2402.0458219525212</v>
      </c>
      <c r="E327" s="3">
        <f t="shared" si="16"/>
        <v>81053.465038713359</v>
      </c>
      <c r="F327" s="4">
        <f>('Owner Occupier'!$H$24-'Owner Occupier'!$D$52)/('Owner Occupier'!$D$56-'Owner Occupier'!$D$52)*B327</f>
        <v>1002.7478783988267</v>
      </c>
      <c r="G327" s="4">
        <f t="shared" si="17"/>
        <v>193756.83732293407</v>
      </c>
    </row>
    <row r="328" spans="1:7" x14ac:dyDescent="0.25">
      <c r="A328">
        <v>325</v>
      </c>
      <c r="B328" s="4">
        <f>-PPMT('Owner Occupier'!$D$41/12,'FHA Amotization'!$A328,360,'Owner Occupier'!$D$40,0,0)</f>
        <v>2114.9814666070788</v>
      </c>
      <c r="C328" s="4">
        <f>-IPMT('Owner Occupier'!$D$41/12,'FHA Amotization'!$A328,360,'Owner Occupier'!$D$40,0,0)</f>
        <v>287.06435534544249</v>
      </c>
      <c r="D328" s="4">
        <f t="shared" si="15"/>
        <v>2402.0458219525212</v>
      </c>
      <c r="E328" s="3">
        <f t="shared" si="16"/>
        <v>78938.483572106285</v>
      </c>
      <c r="F328" s="4">
        <f>('Owner Occupier'!$H$24-'Owner Occupier'!$D$52)/('Owner Occupier'!$D$56-'Owner Occupier'!$D$52)*B328</f>
        <v>1006.2992771348225</v>
      </c>
      <c r="G328" s="4">
        <f t="shared" si="17"/>
        <v>194763.13660006889</v>
      </c>
    </row>
    <row r="329" spans="1:7" x14ac:dyDescent="0.25">
      <c r="A329">
        <v>326</v>
      </c>
      <c r="B329" s="4">
        <f>-PPMT('Owner Occupier'!$D$41/12,'FHA Amotization'!$A329,360,'Owner Occupier'!$D$40,0,0)</f>
        <v>2122.4720259679789</v>
      </c>
      <c r="C329" s="4">
        <f>-IPMT('Owner Occupier'!$D$41/12,'FHA Amotization'!$A329,360,'Owner Occupier'!$D$40,0,0)</f>
        <v>279.57379598454241</v>
      </c>
      <c r="D329" s="4">
        <f t="shared" si="15"/>
        <v>2402.0458219525212</v>
      </c>
      <c r="E329" s="3">
        <f t="shared" si="16"/>
        <v>76816.01154613831</v>
      </c>
      <c r="F329" s="4">
        <f>('Owner Occupier'!$H$24-'Owner Occupier'!$D$52)/('Owner Occupier'!$D$56-'Owner Occupier'!$D$52)*B329</f>
        <v>1009.8632537413417</v>
      </c>
      <c r="G329" s="4">
        <f t="shared" si="17"/>
        <v>195772.99985381024</v>
      </c>
    </row>
    <row r="330" spans="1:7" x14ac:dyDescent="0.25">
      <c r="A330">
        <v>327</v>
      </c>
      <c r="B330" s="4">
        <f>-PPMT('Owner Occupier'!$D$41/12,'FHA Amotization'!$A330,360,'Owner Occupier'!$D$40,0,0)</f>
        <v>2129.9891143932823</v>
      </c>
      <c r="C330" s="4">
        <f>-IPMT('Owner Occupier'!$D$41/12,'FHA Amotization'!$A330,360,'Owner Occupier'!$D$40,0,0)</f>
        <v>272.05670755923916</v>
      </c>
      <c r="D330" s="4">
        <f t="shared" si="15"/>
        <v>2402.0458219525217</v>
      </c>
      <c r="E330" s="3">
        <f t="shared" si="16"/>
        <v>74686.022431745034</v>
      </c>
      <c r="F330" s="4">
        <f>('Owner Occupier'!$H$24-'Owner Occupier'!$D$52)/('Owner Occupier'!$D$56-'Owner Occupier'!$D$52)*B330</f>
        <v>1013.4398527650091</v>
      </c>
      <c r="G330" s="4">
        <f t="shared" si="17"/>
        <v>196786.43970657524</v>
      </c>
    </row>
    <row r="331" spans="1:7" x14ac:dyDescent="0.25">
      <c r="A331">
        <v>328</v>
      </c>
      <c r="B331" s="4">
        <f>-PPMT('Owner Occupier'!$D$41/12,'FHA Amotization'!$A331,360,'Owner Occupier'!$D$40,0,0)</f>
        <v>2137.5328258400918</v>
      </c>
      <c r="C331" s="4">
        <f>-IPMT('Owner Occupier'!$D$41/12,'FHA Amotization'!$A331,360,'Owner Occupier'!$D$40,0,0)</f>
        <v>264.51299611242962</v>
      </c>
      <c r="D331" s="4">
        <f t="shared" si="15"/>
        <v>2402.0458219525217</v>
      </c>
      <c r="E331" s="3">
        <f t="shared" si="16"/>
        <v>72548.489605904935</v>
      </c>
      <c r="F331" s="4">
        <f>('Owner Occupier'!$H$24-'Owner Occupier'!$D$52)/('Owner Occupier'!$D$56-'Owner Occupier'!$D$52)*B331</f>
        <v>1017.0291189102185</v>
      </c>
      <c r="G331" s="4">
        <f t="shared" si="17"/>
        <v>197803.46882548547</v>
      </c>
    </row>
    <row r="332" spans="1:7" x14ac:dyDescent="0.25">
      <c r="A332">
        <v>329</v>
      </c>
      <c r="B332" s="4">
        <f>-PPMT('Owner Occupier'!$D$41/12,'FHA Amotization'!$A332,360,'Owner Occupier'!$D$40,0,0)</f>
        <v>2145.1032545982757</v>
      </c>
      <c r="C332" s="4">
        <f>-IPMT('Owner Occupier'!$D$41/12,'FHA Amotization'!$A332,360,'Owner Occupier'!$D$40,0,0)</f>
        <v>256.94256735424597</v>
      </c>
      <c r="D332" s="4">
        <f t="shared" si="15"/>
        <v>2402.0458219525217</v>
      </c>
      <c r="E332" s="3">
        <f t="shared" si="16"/>
        <v>70403.386351306661</v>
      </c>
      <c r="F332" s="4">
        <f>('Owner Occupier'!$H$24-'Owner Occupier'!$D$52)/('Owner Occupier'!$D$56-'Owner Occupier'!$D$52)*B332</f>
        <v>1020.6310970396922</v>
      </c>
      <c r="G332" s="4">
        <f t="shared" si="17"/>
        <v>198824.09992252517</v>
      </c>
    </row>
    <row r="333" spans="1:7" x14ac:dyDescent="0.25">
      <c r="A333">
        <v>330</v>
      </c>
      <c r="B333" s="4">
        <f>-PPMT('Owner Occupier'!$D$41/12,'FHA Amotization'!$A333,360,'Owner Occupier'!$D$40,0,0)</f>
        <v>2152.7004952916445</v>
      </c>
      <c r="C333" s="4">
        <f>-IPMT('Owner Occupier'!$D$41/12,'FHA Amotization'!$A333,360,'Owner Occupier'!$D$40,0,0)</f>
        <v>249.34532666087711</v>
      </c>
      <c r="D333" s="4">
        <f t="shared" si="15"/>
        <v>2402.0458219525217</v>
      </c>
      <c r="E333" s="3">
        <f t="shared" si="16"/>
        <v>68250.685856015014</v>
      </c>
      <c r="F333" s="4">
        <f>('Owner Occupier'!$H$24-'Owner Occupier'!$D$52)/('Owner Occupier'!$D$56-'Owner Occupier'!$D$52)*B333</f>
        <v>1024.2458321750412</v>
      </c>
      <c r="G333" s="4">
        <f t="shared" si="17"/>
        <v>199848.34575470022</v>
      </c>
    </row>
    <row r="334" spans="1:7" x14ac:dyDescent="0.25">
      <c r="A334">
        <v>331</v>
      </c>
      <c r="B334" s="4">
        <f>-PPMT('Owner Occupier'!$D$41/12,'FHA Amotization'!$A334,360,'Owner Occupier'!$D$40,0,0)</f>
        <v>2160.3246428791354</v>
      </c>
      <c r="C334" s="4">
        <f>-IPMT('Owner Occupier'!$D$41/12,'FHA Amotization'!$A334,360,'Owner Occupier'!$D$40,0,0)</f>
        <v>241.7211790733858</v>
      </c>
      <c r="D334" s="4">
        <f t="shared" si="15"/>
        <v>2402.0458219525212</v>
      </c>
      <c r="E334" s="3">
        <f t="shared" si="16"/>
        <v>66090.361213135882</v>
      </c>
      <c r="F334" s="4">
        <f>('Owner Occupier'!$H$24-'Owner Occupier'!$D$52)/('Owner Occupier'!$D$56-'Owner Occupier'!$D$52)*B334</f>
        <v>1027.8733694973275</v>
      </c>
      <c r="G334" s="4">
        <f t="shared" si="17"/>
        <v>200876.21912419755</v>
      </c>
    </row>
    <row r="335" spans="1:7" x14ac:dyDescent="0.25">
      <c r="A335">
        <v>332</v>
      </c>
      <c r="B335" s="4">
        <f>-PPMT('Owner Occupier'!$D$41/12,'FHA Amotization'!$A335,360,'Owner Occupier'!$D$40,0,0)</f>
        <v>2167.9757926559992</v>
      </c>
      <c r="C335" s="4">
        <f>-IPMT('Owner Occupier'!$D$41/12,'FHA Amotization'!$A335,360,'Owner Occupier'!$D$40,0,0)</f>
        <v>234.07002929652222</v>
      </c>
      <c r="D335" s="4">
        <f t="shared" si="15"/>
        <v>2402.0458219525212</v>
      </c>
      <c r="E335" s="3">
        <f t="shared" si="16"/>
        <v>63922.385420479884</v>
      </c>
      <c r="F335" s="4">
        <f>('Owner Occupier'!$H$24-'Owner Occupier'!$D$52)/('Owner Occupier'!$D$56-'Owner Occupier'!$D$52)*B335</f>
        <v>1031.5137543476305</v>
      </c>
      <c r="G335" s="4">
        <f t="shared" si="17"/>
        <v>201907.73287854518</v>
      </c>
    </row>
    <row r="336" spans="1:7" x14ac:dyDescent="0.25">
      <c r="A336">
        <v>333</v>
      </c>
      <c r="B336" s="4">
        <f>-PPMT('Owner Occupier'!$D$41/12,'FHA Amotization'!$A336,360,'Owner Occupier'!$D$40,0,0)</f>
        <v>2175.654040254989</v>
      </c>
      <c r="C336" s="4">
        <f>-IPMT('Owner Occupier'!$D$41/12,'FHA Amotization'!$A336,360,'Owner Occupier'!$D$40,0,0)</f>
        <v>226.39178169753222</v>
      </c>
      <c r="D336" s="4">
        <f t="shared" si="15"/>
        <v>2402.0458219525212</v>
      </c>
      <c r="E336" s="3">
        <f t="shared" si="16"/>
        <v>61746.731380224897</v>
      </c>
      <c r="F336" s="4">
        <f>('Owner Occupier'!$H$24-'Owner Occupier'!$D$52)/('Owner Occupier'!$D$56-'Owner Occupier'!$D$52)*B336</f>
        <v>1035.1670322276118</v>
      </c>
      <c r="G336" s="4">
        <f t="shared" si="17"/>
        <v>202942.8999107728</v>
      </c>
    </row>
    <row r="337" spans="1:7" x14ac:dyDescent="0.25">
      <c r="A337">
        <v>334</v>
      </c>
      <c r="B337" s="4">
        <f>-PPMT('Owner Occupier'!$D$41/12,'FHA Amotization'!$A337,360,'Owner Occupier'!$D$40,0,0)</f>
        <v>2183.3594816475588</v>
      </c>
      <c r="C337" s="4">
        <f>-IPMT('Owner Occupier'!$D$41/12,'FHA Amotization'!$A337,360,'Owner Occupier'!$D$40,0,0)</f>
        <v>218.6863403049625</v>
      </c>
      <c r="D337" s="4">
        <f t="shared" si="15"/>
        <v>2402.0458219525212</v>
      </c>
      <c r="E337" s="3">
        <f t="shared" si="16"/>
        <v>59563.371898577338</v>
      </c>
      <c r="F337" s="4">
        <f>('Owner Occupier'!$H$24-'Owner Occupier'!$D$52)/('Owner Occupier'!$D$56-'Owner Occupier'!$D$52)*B337</f>
        <v>1038.8332488000847</v>
      </c>
      <c r="G337" s="4">
        <f t="shared" si="17"/>
        <v>203981.73315957288</v>
      </c>
    </row>
    <row r="338" spans="1:7" x14ac:dyDescent="0.25">
      <c r="A338">
        <v>335</v>
      </c>
      <c r="B338" s="4">
        <f>-PPMT('Owner Occupier'!$D$41/12,'FHA Amotization'!$A338,360,'Owner Occupier'!$D$40,0,0)</f>
        <v>2191.0922131450607</v>
      </c>
      <c r="C338" s="4">
        <f>-IPMT('Owner Occupier'!$D$41/12,'FHA Amotization'!$A338,360,'Owner Occupier'!$D$40,0,0)</f>
        <v>210.95360880746068</v>
      </c>
      <c r="D338" s="4">
        <f t="shared" si="15"/>
        <v>2402.0458219525212</v>
      </c>
      <c r="E338" s="3">
        <f t="shared" si="16"/>
        <v>57372.279685432281</v>
      </c>
      <c r="F338" s="4">
        <f>('Owner Occupier'!$H$24-'Owner Occupier'!$D$52)/('Owner Occupier'!$D$56-'Owner Occupier'!$D$52)*B338</f>
        <v>1042.512449889585</v>
      </c>
      <c r="G338" s="4">
        <f t="shared" si="17"/>
        <v>205024.24560946246</v>
      </c>
    </row>
    <row r="339" spans="1:7" x14ac:dyDescent="0.25">
      <c r="A339">
        <v>336</v>
      </c>
      <c r="B339" s="4">
        <f>-PPMT('Owner Occupier'!$D$41/12,'FHA Amotization'!$A339,360,'Owner Occupier'!$D$40,0,0)</f>
        <v>2198.8523313999494</v>
      </c>
      <c r="C339" s="4">
        <f>-IPMT('Owner Occupier'!$D$41/12,'FHA Amotization'!$A339,360,'Owner Occupier'!$D$40,0,0)</f>
        <v>203.19349055257192</v>
      </c>
      <c r="D339" s="4">
        <f t="shared" si="15"/>
        <v>2402.0458219525212</v>
      </c>
      <c r="E339" s="3">
        <f t="shared" si="16"/>
        <v>55173.427354032334</v>
      </c>
      <c r="F339" s="4">
        <f>('Owner Occupier'!$H$24-'Owner Occupier'!$D$52)/('Owner Occupier'!$D$56-'Owner Occupier'!$D$52)*B339</f>
        <v>1046.2046814829439</v>
      </c>
      <c r="G339" s="4">
        <f t="shared" si="17"/>
        <v>206070.45029094542</v>
      </c>
    </row>
    <row r="340" spans="1:7" x14ac:dyDescent="0.25">
      <c r="A340">
        <v>337</v>
      </c>
      <c r="B340" s="4">
        <f>-PPMT('Owner Occupier'!$D$41/12,'FHA Amotization'!$A340,360,'Owner Occupier'!$D$40,0,0)</f>
        <v>2206.6399334069911</v>
      </c>
      <c r="C340" s="4">
        <f>-IPMT('Owner Occupier'!$D$41/12,'FHA Amotization'!$A340,360,'Owner Occupier'!$D$40,0,0)</f>
        <v>195.40588854553042</v>
      </c>
      <c r="D340" s="4">
        <f t="shared" si="15"/>
        <v>2402.0458219525217</v>
      </c>
      <c r="E340" s="3">
        <f t="shared" si="16"/>
        <v>52966.78742062534</v>
      </c>
      <c r="F340" s="4">
        <f>('Owner Occupier'!$H$24-'Owner Occupier'!$D$52)/('Owner Occupier'!$D$56-'Owner Occupier'!$D$52)*B340</f>
        <v>1049.9099897298627</v>
      </c>
      <c r="G340" s="4">
        <f t="shared" si="17"/>
        <v>207120.36028067529</v>
      </c>
    </row>
    <row r="341" spans="1:7" x14ac:dyDescent="0.25">
      <c r="A341">
        <v>338</v>
      </c>
      <c r="B341" s="4">
        <f>-PPMT('Owner Occupier'!$D$41/12,'FHA Amotization'!$A341,360,'Owner Occupier'!$D$40,0,0)</f>
        <v>2214.4551165044741</v>
      </c>
      <c r="C341" s="4">
        <f>-IPMT('Owner Occupier'!$D$41/12,'FHA Amotization'!$A341,360,'Owner Occupier'!$D$40,0,0)</f>
        <v>187.59070544804734</v>
      </c>
      <c r="D341" s="4">
        <f t="shared" si="15"/>
        <v>2402.0458219525212</v>
      </c>
      <c r="E341" s="3">
        <f t="shared" si="16"/>
        <v>50752.332304120864</v>
      </c>
      <c r="F341" s="4">
        <f>('Owner Occupier'!$H$24-'Owner Occupier'!$D$52)/('Owner Occupier'!$D$56-'Owner Occupier'!$D$52)*B341</f>
        <v>1053.6284209434893</v>
      </c>
      <c r="G341" s="4">
        <f t="shared" si="17"/>
        <v>208173.98870161877</v>
      </c>
    </row>
    <row r="342" spans="1:7" x14ac:dyDescent="0.25">
      <c r="A342">
        <v>339</v>
      </c>
      <c r="B342" s="4">
        <f>-PPMT('Owner Occupier'!$D$41/12,'FHA Amotization'!$A342,360,'Owner Occupier'!$D$40,0,0)</f>
        <v>2222.2979783754276</v>
      </c>
      <c r="C342" s="4">
        <f>-IPMT('Owner Occupier'!$D$41/12,'FHA Amotization'!$A342,360,'Owner Occupier'!$D$40,0,0)</f>
        <v>179.74784357709399</v>
      </c>
      <c r="D342" s="4">
        <f t="shared" si="15"/>
        <v>2402.0458219525217</v>
      </c>
      <c r="E342" s="3">
        <f t="shared" si="16"/>
        <v>48530.034325745437</v>
      </c>
      <c r="F342" s="4">
        <f>('Owner Occupier'!$H$24-'Owner Occupier'!$D$52)/('Owner Occupier'!$D$56-'Owner Occupier'!$D$52)*B342</f>
        <v>1057.3600216009975</v>
      </c>
      <c r="G342" s="4">
        <f t="shared" si="17"/>
        <v>209231.34872321977</v>
      </c>
    </row>
    <row r="343" spans="1:7" x14ac:dyDescent="0.25">
      <c r="A343">
        <v>340</v>
      </c>
      <c r="B343" s="4">
        <f>-PPMT('Owner Occupier'!$D$41/12,'FHA Amotization'!$A343,360,'Owner Occupier'!$D$40,0,0)</f>
        <v>2230.1686170488406</v>
      </c>
      <c r="C343" s="4">
        <f>-IPMT('Owner Occupier'!$D$41/12,'FHA Amotization'!$A343,360,'Owner Occupier'!$D$40,0,0)</f>
        <v>171.87720490368105</v>
      </c>
      <c r="D343" s="4">
        <f t="shared" si="15"/>
        <v>2402.0458219525217</v>
      </c>
      <c r="E343" s="3">
        <f t="shared" si="16"/>
        <v>46299.865708696598</v>
      </c>
      <c r="F343" s="4">
        <f>('Owner Occupier'!$H$24-'Owner Occupier'!$D$52)/('Owner Occupier'!$D$56-'Owner Occupier'!$D$52)*B343</f>
        <v>1061.1048383441678</v>
      </c>
      <c r="G343" s="4">
        <f t="shared" si="17"/>
        <v>210292.45356156395</v>
      </c>
    </row>
    <row r="344" spans="1:7" x14ac:dyDescent="0.25">
      <c r="A344">
        <v>341</v>
      </c>
      <c r="B344" s="4">
        <f>-PPMT('Owner Occupier'!$D$41/12,'FHA Amotization'!$A344,360,'Owner Occupier'!$D$40,0,0)</f>
        <v>2238.0671309008881</v>
      </c>
      <c r="C344" s="4">
        <f>-IPMT('Owner Occupier'!$D$41/12,'FHA Amotization'!$A344,360,'Owner Occupier'!$D$40,0,0)</f>
        <v>163.97869105163304</v>
      </c>
      <c r="D344" s="4">
        <f t="shared" si="15"/>
        <v>2402.0458219525212</v>
      </c>
      <c r="E344" s="3">
        <f t="shared" si="16"/>
        <v>44061.798577795707</v>
      </c>
      <c r="F344" s="4">
        <f>('Owner Occupier'!$H$24-'Owner Occupier'!$D$52)/('Owner Occupier'!$D$56-'Owner Occupier'!$D$52)*B344</f>
        <v>1064.8629179799698</v>
      </c>
      <c r="G344" s="4">
        <f t="shared" si="17"/>
        <v>211357.31647954392</v>
      </c>
    </row>
    <row r="345" spans="1:7" x14ac:dyDescent="0.25">
      <c r="A345">
        <v>342</v>
      </c>
      <c r="B345" s="4">
        <f>-PPMT('Owner Occupier'!$D$41/12,'FHA Amotization'!$A345,360,'Owner Occupier'!$D$40,0,0)</f>
        <v>2245.9936186561622</v>
      </c>
      <c r="C345" s="4">
        <f>-IPMT('Owner Occupier'!$D$41/12,'FHA Amotization'!$A345,360,'Owner Occupier'!$D$40,0,0)</f>
        <v>156.05220329635904</v>
      </c>
      <c r="D345" s="4">
        <f t="shared" si="15"/>
        <v>2402.0458219525212</v>
      </c>
      <c r="E345" s="3">
        <f t="shared" si="16"/>
        <v>41815.804959139547</v>
      </c>
      <c r="F345" s="4">
        <f>('Owner Occupier'!$H$24-'Owner Occupier'!$D$52)/('Owner Occupier'!$D$56-'Owner Occupier'!$D$52)*B345</f>
        <v>1068.6343074811489</v>
      </c>
      <c r="G345" s="4">
        <f t="shared" si="17"/>
        <v>212425.95078702507</v>
      </c>
    </row>
    <row r="346" spans="1:7" x14ac:dyDescent="0.25">
      <c r="A346">
        <v>343</v>
      </c>
      <c r="B346" s="4">
        <f>-PPMT('Owner Occupier'!$D$41/12,'FHA Amotization'!$A346,360,'Owner Occupier'!$D$40,0,0)</f>
        <v>2253.9481793889031</v>
      </c>
      <c r="C346" s="4">
        <f>-IPMT('Owner Occupier'!$D$41/12,'FHA Amotization'!$A346,360,'Owner Occupier'!$D$40,0,0)</f>
        <v>148.09764256361848</v>
      </c>
      <c r="D346" s="4">
        <f t="shared" si="15"/>
        <v>2402.0458219525217</v>
      </c>
      <c r="E346" s="3">
        <f t="shared" si="16"/>
        <v>39561.85677975064</v>
      </c>
      <c r="F346" s="4">
        <f>('Owner Occupier'!$H$24-'Owner Occupier'!$D$52)/('Owner Occupier'!$D$56-'Owner Occupier'!$D$52)*B346</f>
        <v>1072.4190539868114</v>
      </c>
      <c r="G346" s="4">
        <f t="shared" si="17"/>
        <v>213498.36984101188</v>
      </c>
    </row>
    <row r="347" spans="1:7" x14ac:dyDescent="0.25">
      <c r="A347">
        <v>344</v>
      </c>
      <c r="B347" s="4">
        <f>-PPMT('Owner Occupier'!$D$41/12,'FHA Amotization'!$A347,360,'Owner Occupier'!$D$40,0,0)</f>
        <v>2261.9309125242385</v>
      </c>
      <c r="C347" s="4">
        <f>-IPMT('Owner Occupier'!$D$41/12,'FHA Amotization'!$A347,360,'Owner Occupier'!$D$40,0,0)</f>
        <v>140.11490942828277</v>
      </c>
      <c r="D347" s="4">
        <f t="shared" si="15"/>
        <v>2402.0458219525212</v>
      </c>
      <c r="E347" s="3">
        <f t="shared" si="16"/>
        <v>37299.925867226404</v>
      </c>
      <c r="F347" s="4">
        <f>('Owner Occupier'!$H$24-'Owner Occupier'!$D$52)/('Owner Occupier'!$D$56-'Owner Occupier'!$D$52)*B347</f>
        <v>1076.2172048030145</v>
      </c>
      <c r="G347" s="4">
        <f t="shared" si="17"/>
        <v>214574.5870458149</v>
      </c>
    </row>
    <row r="348" spans="1:7" x14ac:dyDescent="0.25">
      <c r="A348">
        <v>345</v>
      </c>
      <c r="B348" s="4">
        <f>-PPMT('Owner Occupier'!$D$41/12,'FHA Amotization'!$A348,360,'Owner Occupier'!$D$40,0,0)</f>
        <v>2269.9419178394287</v>
      </c>
      <c r="C348" s="4">
        <f>-IPMT('Owner Occupier'!$D$41/12,'FHA Amotization'!$A348,360,'Owner Occupier'!$D$40,0,0)</f>
        <v>132.10390411309277</v>
      </c>
      <c r="D348" s="4">
        <f t="shared" si="15"/>
        <v>2402.0458219525217</v>
      </c>
      <c r="E348" s="3">
        <f t="shared" si="16"/>
        <v>35029.983949386973</v>
      </c>
      <c r="F348" s="4">
        <f>('Owner Occupier'!$H$24-'Owner Occupier'!$D$52)/('Owner Occupier'!$D$56-'Owner Occupier'!$D$52)*B348</f>
        <v>1080.0288074033588</v>
      </c>
      <c r="G348" s="4">
        <f t="shared" si="17"/>
        <v>215654.61585321825</v>
      </c>
    </row>
    <row r="349" spans="1:7" x14ac:dyDescent="0.25">
      <c r="A349">
        <v>346</v>
      </c>
      <c r="B349" s="4">
        <f>-PPMT('Owner Occupier'!$D$41/12,'FHA Amotization'!$A349,360,'Owner Occupier'!$D$40,0,0)</f>
        <v>2277.9812954651102</v>
      </c>
      <c r="C349" s="4">
        <f>-IPMT('Owner Occupier'!$D$41/12,'FHA Amotization'!$A349,360,'Owner Occupier'!$D$40,0,0)</f>
        <v>124.06452648741146</v>
      </c>
      <c r="D349" s="4">
        <f t="shared" si="15"/>
        <v>2402.0458219525217</v>
      </c>
      <c r="E349" s="3">
        <f t="shared" si="16"/>
        <v>32752.002653921863</v>
      </c>
      <c r="F349" s="4">
        <f>('Owner Occupier'!$H$24-'Owner Occupier'!$D$52)/('Owner Occupier'!$D$56-'Owner Occupier'!$D$52)*B349</f>
        <v>1083.8539094295791</v>
      </c>
      <c r="G349" s="4">
        <f t="shared" si="17"/>
        <v>216738.46976264782</v>
      </c>
    </row>
    <row r="350" spans="1:7" x14ac:dyDescent="0.25">
      <c r="A350">
        <v>347</v>
      </c>
      <c r="B350" s="4">
        <f>-PPMT('Owner Occupier'!$D$41/12,'FHA Amotization'!$A350,360,'Owner Occupier'!$D$40,0,0)</f>
        <v>2286.0491458865486</v>
      </c>
      <c r="C350" s="4">
        <f>-IPMT('Owner Occupier'!$D$41/12,'FHA Amotization'!$A350,360,'Owner Occupier'!$D$40,0,0)</f>
        <v>115.99667606597251</v>
      </c>
      <c r="D350" s="4">
        <f t="shared" si="15"/>
        <v>2402.0458219525212</v>
      </c>
      <c r="E350" s="3">
        <f t="shared" si="16"/>
        <v>30465.953508035316</v>
      </c>
      <c r="F350" s="4">
        <f>('Owner Occupier'!$H$24-'Owner Occupier'!$D$52)/('Owner Occupier'!$D$56-'Owner Occupier'!$D$52)*B350</f>
        <v>1087.6925586921418</v>
      </c>
      <c r="G350" s="4">
        <f t="shared" si="17"/>
        <v>217826.16232133994</v>
      </c>
    </row>
    <row r="351" spans="1:7" x14ac:dyDescent="0.25">
      <c r="A351">
        <v>348</v>
      </c>
      <c r="B351" s="4">
        <f>-PPMT('Owner Occupier'!$D$41/12,'FHA Amotization'!$A351,360,'Owner Occupier'!$D$40,0,0)</f>
        <v>2294.145569944897</v>
      </c>
      <c r="C351" s="4">
        <f>-IPMT('Owner Occupier'!$D$41/12,'FHA Amotization'!$A351,360,'Owner Occupier'!$D$40,0,0)</f>
        <v>107.90025200762432</v>
      </c>
      <c r="D351" s="4">
        <f t="shared" si="15"/>
        <v>2402.0458219525212</v>
      </c>
      <c r="E351" s="3">
        <f t="shared" si="16"/>
        <v>28171.80793809042</v>
      </c>
      <c r="F351" s="4">
        <f>('Owner Occupier'!$H$24-'Owner Occupier'!$D$52)/('Owner Occupier'!$D$56-'Owner Occupier'!$D$52)*B351</f>
        <v>1091.5448031708434</v>
      </c>
      <c r="G351" s="4">
        <f t="shared" si="17"/>
        <v>218917.70712451078</v>
      </c>
    </row>
    <row r="352" spans="1:7" x14ac:dyDescent="0.25">
      <c r="A352">
        <v>349</v>
      </c>
      <c r="B352" s="4">
        <f>-PPMT('Owner Occupier'!$D$41/12,'FHA Amotization'!$A352,360,'Owner Occupier'!$D$40,0,0)</f>
        <v>2302.2706688384519</v>
      </c>
      <c r="C352" s="4">
        <f>-IPMT('Owner Occupier'!$D$41/12,'FHA Amotization'!$A352,360,'Owner Occupier'!$D$40,0,0)</f>
        <v>99.775153114069482</v>
      </c>
      <c r="D352" s="4">
        <f t="shared" si="15"/>
        <v>2402.0458219525212</v>
      </c>
      <c r="E352" s="3">
        <f t="shared" si="16"/>
        <v>25869.537269251967</v>
      </c>
      <c r="F352" s="4">
        <f>('Owner Occupier'!$H$24-'Owner Occupier'!$D$52)/('Owner Occupier'!$D$56-'Owner Occupier'!$D$52)*B352</f>
        <v>1095.4106910154067</v>
      </c>
      <c r="G352" s="4">
        <f t="shared" si="17"/>
        <v>220013.11781552617</v>
      </c>
    </row>
    <row r="353" spans="1:7" x14ac:dyDescent="0.25">
      <c r="A353">
        <v>350</v>
      </c>
      <c r="B353" s="4">
        <f>-PPMT('Owner Occupier'!$D$41/12,'FHA Amotization'!$A353,360,'Owner Occupier'!$D$40,0,0)</f>
        <v>2310.4245441239214</v>
      </c>
      <c r="C353" s="4">
        <f>-IPMT('Owner Occupier'!$D$41/12,'FHA Amotization'!$A353,360,'Owner Occupier'!$D$40,0,0)</f>
        <v>91.621277828599972</v>
      </c>
      <c r="D353" s="4">
        <f t="shared" si="15"/>
        <v>2402.0458219525212</v>
      </c>
      <c r="E353" s="3">
        <f t="shared" si="16"/>
        <v>23559.112725128045</v>
      </c>
      <c r="F353" s="4">
        <f>('Owner Occupier'!$H$24-'Owner Occupier'!$D$52)/('Owner Occupier'!$D$56-'Owner Occupier'!$D$52)*B353</f>
        <v>1099.2902705460863</v>
      </c>
      <c r="G353" s="4">
        <f t="shared" si="17"/>
        <v>221112.40808607225</v>
      </c>
    </row>
    <row r="354" spans="1:7" x14ac:dyDescent="0.25">
      <c r="A354">
        <v>351</v>
      </c>
      <c r="B354" s="4">
        <f>-PPMT('Owner Occupier'!$D$41/12,'FHA Amotization'!$A354,360,'Owner Occupier'!$D$40,0,0)</f>
        <v>2318.6072977176937</v>
      </c>
      <c r="C354" s="4">
        <f>-IPMT('Owner Occupier'!$D$41/12,'FHA Amotization'!$A354,360,'Owner Occupier'!$D$40,0,0)</f>
        <v>83.438524234827753</v>
      </c>
      <c r="D354" s="4">
        <f t="shared" si="15"/>
        <v>2402.0458219525212</v>
      </c>
      <c r="E354" s="3">
        <f t="shared" si="16"/>
        <v>21240.505427410353</v>
      </c>
      <c r="F354" s="4">
        <f>('Owner Occupier'!$H$24-'Owner Occupier'!$D$52)/('Owner Occupier'!$D$56-'Owner Occupier'!$D$52)*B354</f>
        <v>1103.1835902542703</v>
      </c>
      <c r="G354" s="4">
        <f t="shared" si="17"/>
        <v>222215.59167632653</v>
      </c>
    </row>
    <row r="355" spans="1:7" x14ac:dyDescent="0.25">
      <c r="A355">
        <v>352</v>
      </c>
      <c r="B355" s="4">
        <f>-PPMT('Owner Occupier'!$D$41/12,'FHA Amotization'!$A355,360,'Owner Occupier'!$D$40,0,0)</f>
        <v>2326.8190318971106</v>
      </c>
      <c r="C355" s="4">
        <f>-IPMT('Owner Occupier'!$D$41/12,'FHA Amotization'!$A355,360,'Owner Occupier'!$D$40,0,0)</f>
        <v>75.226790055410916</v>
      </c>
      <c r="D355" s="4">
        <f t="shared" si="15"/>
        <v>2402.0458219525217</v>
      </c>
      <c r="E355" s="3">
        <f t="shared" si="16"/>
        <v>18913.686395513243</v>
      </c>
      <c r="F355" s="4">
        <f>('Owner Occupier'!$H$24-'Owner Occupier'!$D$52)/('Owner Occupier'!$D$56-'Owner Occupier'!$D$52)*B355</f>
        <v>1107.0906988030877</v>
      </c>
      <c r="G355" s="4">
        <f t="shared" si="17"/>
        <v>223322.6823751296</v>
      </c>
    </row>
    <row r="356" spans="1:7" x14ac:dyDescent="0.25">
      <c r="A356">
        <v>353</v>
      </c>
      <c r="B356" s="4">
        <f>-PPMT('Owner Occupier'!$D$41/12,'FHA Amotization'!$A356,360,'Owner Occupier'!$D$40,0,0)</f>
        <v>2335.059849301746</v>
      </c>
      <c r="C356" s="4">
        <f>-IPMT('Owner Occupier'!$D$41/12,'FHA Amotization'!$A356,360,'Owner Occupier'!$D$40,0,0)</f>
        <v>66.985972650775309</v>
      </c>
      <c r="D356" s="4">
        <f t="shared" si="15"/>
        <v>2402.0458219525212</v>
      </c>
      <c r="E356" s="3">
        <f t="shared" si="16"/>
        <v>16578.626546211497</v>
      </c>
      <c r="F356" s="4">
        <f>('Owner Occupier'!$H$24-'Owner Occupier'!$D$52)/('Owner Occupier'!$D$56-'Owner Occupier'!$D$52)*B356</f>
        <v>1111.0116450280152</v>
      </c>
      <c r="G356" s="4">
        <f t="shared" si="17"/>
        <v>224433.69402015762</v>
      </c>
    </row>
    <row r="357" spans="1:7" x14ac:dyDescent="0.25">
      <c r="A357">
        <v>354</v>
      </c>
      <c r="B357" s="4">
        <f>-PPMT('Owner Occupier'!$D$41/12,'FHA Amotization'!$A357,360,'Owner Occupier'!$D$40,0,0)</f>
        <v>2343.3298529346898</v>
      </c>
      <c r="C357" s="4">
        <f>-IPMT('Owner Occupier'!$D$41/12,'FHA Amotization'!$A357,360,'Owner Occupier'!$D$40,0,0)</f>
        <v>58.71596901783164</v>
      </c>
      <c r="D357" s="4">
        <f t="shared" si="15"/>
        <v>2402.0458219525217</v>
      </c>
      <c r="E357" s="3">
        <f t="shared" si="16"/>
        <v>14235.296693276807</v>
      </c>
      <c r="F357" s="4">
        <f>('Owner Occupier'!$H$24-'Owner Occupier'!$D$52)/('Owner Occupier'!$D$56-'Owner Occupier'!$D$52)*B357</f>
        <v>1114.9464779374894</v>
      </c>
      <c r="G357" s="4">
        <f t="shared" si="17"/>
        <v>225548.6404980951</v>
      </c>
    </row>
    <row r="358" spans="1:7" x14ac:dyDescent="0.25">
      <c r="A358">
        <v>355</v>
      </c>
      <c r="B358" s="4">
        <f>-PPMT('Owner Occupier'!$D$41/12,'FHA Amotization'!$A358,360,'Owner Occupier'!$D$40,0,0)</f>
        <v>2351.6291461638334</v>
      </c>
      <c r="C358" s="4">
        <f>-IPMT('Owner Occupier'!$D$41/12,'FHA Amotization'!$A358,360,'Owner Occupier'!$D$40,0,0)</f>
        <v>50.416675788687932</v>
      </c>
      <c r="D358" s="4">
        <f t="shared" si="15"/>
        <v>2402.0458219525212</v>
      </c>
      <c r="E358" s="3">
        <f t="shared" si="16"/>
        <v>11883.667547112973</v>
      </c>
      <c r="F358" s="4">
        <f>('Owner Occupier'!$H$24-'Owner Occupier'!$D$52)/('Owner Occupier'!$D$56-'Owner Occupier'!$D$52)*B358</f>
        <v>1118.895246713518</v>
      </c>
      <c r="G358" s="4">
        <f t="shared" si="17"/>
        <v>226667.53574480861</v>
      </c>
    </row>
    <row r="359" spans="1:7" x14ac:dyDescent="0.25">
      <c r="A359">
        <v>356</v>
      </c>
      <c r="B359" s="4">
        <f>-PPMT('Owner Occupier'!$D$41/12,'FHA Amotization'!$A359,360,'Owner Occupier'!$D$40,0,0)</f>
        <v>2359.9578327231634</v>
      </c>
      <c r="C359" s="4">
        <f>-IPMT('Owner Occupier'!$D$41/12,'FHA Amotization'!$A359,360,'Owner Occupier'!$D$40,0,0)</f>
        <v>42.087989229357696</v>
      </c>
      <c r="D359" s="4">
        <f t="shared" si="15"/>
        <v>2402.0458219525212</v>
      </c>
      <c r="E359" s="3">
        <f t="shared" si="16"/>
        <v>9523.70971438981</v>
      </c>
      <c r="F359" s="4">
        <f>('Owner Occupier'!$H$24-'Owner Occupier'!$D$52)/('Owner Occupier'!$D$56-'Owner Occupier'!$D$52)*B359</f>
        <v>1122.8580007122948</v>
      </c>
      <c r="G359" s="4">
        <f t="shared" si="17"/>
        <v>227790.39374552091</v>
      </c>
    </row>
    <row r="360" spans="1:7" x14ac:dyDescent="0.25">
      <c r="A360">
        <v>357</v>
      </c>
      <c r="B360" s="4">
        <f>-PPMT('Owner Occupier'!$D$41/12,'FHA Amotization'!$A360,360,'Owner Occupier'!$D$40,0,0)</f>
        <v>2368.3160167140586</v>
      </c>
      <c r="C360" s="4">
        <f>-IPMT('Owner Occupier'!$D$41/12,'FHA Amotization'!$A360,360,'Owner Occupier'!$D$40,0,0)</f>
        <v>33.72980523846315</v>
      </c>
      <c r="D360" s="4">
        <f t="shared" si="15"/>
        <v>2402.0458219525217</v>
      </c>
      <c r="E360" s="3">
        <f t="shared" si="16"/>
        <v>7155.3936976757514</v>
      </c>
      <c r="F360" s="4">
        <f>('Owner Occupier'!$H$24-'Owner Occupier'!$D$52)/('Owner Occupier'!$D$56-'Owner Occupier'!$D$52)*B360</f>
        <v>1126.834789464818</v>
      </c>
      <c r="G360" s="4">
        <f t="shared" si="17"/>
        <v>228917.22853498574</v>
      </c>
    </row>
    <row r="361" spans="1:7" x14ac:dyDescent="0.25">
      <c r="A361">
        <v>358</v>
      </c>
      <c r="B361" s="4">
        <f>-PPMT('Owner Occupier'!$D$41/12,'FHA Amotization'!$A361,360,'Owner Occupier'!$D$40,0,0)</f>
        <v>2376.703802606587</v>
      </c>
      <c r="C361" s="4">
        <f>-IPMT('Owner Occupier'!$D$41/12,'FHA Amotization'!$A361,360,'Owner Occupier'!$D$40,0,0)</f>
        <v>25.342019345934194</v>
      </c>
      <c r="D361" s="4">
        <f t="shared" si="15"/>
        <v>2402.0458219525212</v>
      </c>
      <c r="E361" s="3">
        <f t="shared" si="16"/>
        <v>4778.6898950691648</v>
      </c>
      <c r="F361" s="4">
        <f>('Owner Occupier'!$H$24-'Owner Occupier'!$D$52)/('Owner Occupier'!$D$56-'Owner Occupier'!$D$52)*B361</f>
        <v>1130.8256626775055</v>
      </c>
      <c r="G361" s="4">
        <f t="shared" si="17"/>
        <v>230048.05419766324</v>
      </c>
    </row>
    <row r="362" spans="1:7" x14ac:dyDescent="0.25">
      <c r="A362">
        <v>359</v>
      </c>
      <c r="B362" s="4">
        <f>-PPMT('Owner Occupier'!$D$41/12,'FHA Amotization'!$A362,360,'Owner Occupier'!$D$40,0,0)</f>
        <v>2385.1212952408191</v>
      </c>
      <c r="C362" s="4">
        <f>-IPMT('Owner Occupier'!$D$41/12,'FHA Amotization'!$A362,360,'Owner Occupier'!$D$40,0,0)</f>
        <v>16.92452671170253</v>
      </c>
      <c r="D362" s="4">
        <f t="shared" si="15"/>
        <v>2402.0458219525217</v>
      </c>
      <c r="E362" s="3">
        <f t="shared" si="16"/>
        <v>2393.5685998283457</v>
      </c>
      <c r="F362" s="4">
        <f>('Owner Occupier'!$H$24-'Owner Occupier'!$D$52)/('Owner Occupier'!$D$56-'Owner Occupier'!$D$52)*B362</f>
        <v>1134.8306702328218</v>
      </c>
      <c r="G362" s="4">
        <f t="shared" si="17"/>
        <v>231182.88486789606</v>
      </c>
    </row>
    <row r="363" spans="1:7" x14ac:dyDescent="0.25">
      <c r="A363">
        <v>360</v>
      </c>
      <c r="B363" s="4">
        <f>-PPMT('Owner Occupier'!$D$41/12,'FHA Amotization'!$A363,360,'Owner Occupier'!$D$40,0,0)</f>
        <v>2393.5685998281306</v>
      </c>
      <c r="C363" s="4">
        <f>-IPMT('Owner Occupier'!$D$41/12,'FHA Amotization'!$A363,360,'Owner Occupier'!$D$40,0,0)</f>
        <v>8.4772221243912966</v>
      </c>
      <c r="D363" s="4">
        <f t="shared" si="15"/>
        <v>2402.0458219525217</v>
      </c>
      <c r="E363" s="3">
        <f t="shared" si="16"/>
        <v>2.1509549696929753E-10</v>
      </c>
      <c r="F363" s="4">
        <f>('Owner Occupier'!$H$24-'Owner Occupier'!$D$52)/('Owner Occupier'!$D$56-'Owner Occupier'!$D$52)*B363</f>
        <v>1138.8498621898966</v>
      </c>
      <c r="G363" s="4">
        <f t="shared" si="17"/>
        <v>232321.73473008597</v>
      </c>
    </row>
  </sheetData>
  <mergeCells count="1">
    <mergeCell ref="A1:C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49339-C2F6-4859-81D6-DADD0DC5A7C3}">
  <sheetPr codeName="Sheet3"/>
  <dimension ref="A1:J31"/>
  <sheetViews>
    <sheetView workbookViewId="0">
      <selection activeCell="N10" sqref="N10"/>
    </sheetView>
  </sheetViews>
  <sheetFormatPr defaultRowHeight="15" x14ac:dyDescent="0.25"/>
  <cols>
    <col min="3" max="3" width="12.7109375" bestFit="1" customWidth="1"/>
    <col min="5" max="5" width="22.42578125" bestFit="1" customWidth="1"/>
  </cols>
  <sheetData>
    <row r="1" spans="1:10" x14ac:dyDescent="0.25">
      <c r="A1" t="s">
        <v>7</v>
      </c>
      <c r="C1" t="s">
        <v>57</v>
      </c>
      <c r="E1" t="s">
        <v>58</v>
      </c>
      <c r="F1" t="s">
        <v>59</v>
      </c>
    </row>
    <row r="2" spans="1:10" x14ac:dyDescent="0.25">
      <c r="A2" s="2">
        <v>0</v>
      </c>
      <c r="C2" s="2">
        <v>0.01</v>
      </c>
      <c r="E2" s="6">
        <v>0</v>
      </c>
      <c r="F2" s="2">
        <v>0</v>
      </c>
      <c r="H2">
        <v>1</v>
      </c>
      <c r="J2" t="s">
        <v>60</v>
      </c>
    </row>
    <row r="3" spans="1:10" x14ac:dyDescent="0.25">
      <c r="A3" s="6">
        <v>3.5000000000000003E-2</v>
      </c>
      <c r="C3" s="2">
        <v>0.02</v>
      </c>
      <c r="E3" s="6">
        <v>0.01</v>
      </c>
      <c r="F3" s="2">
        <v>0.01</v>
      </c>
      <c r="H3">
        <v>2</v>
      </c>
      <c r="J3" t="s">
        <v>54</v>
      </c>
    </row>
    <row r="4" spans="1:10" x14ac:dyDescent="0.25">
      <c r="A4" s="2">
        <v>0.05</v>
      </c>
      <c r="C4" s="2">
        <v>0.03</v>
      </c>
      <c r="E4" s="6">
        <v>1.4999999999999999E-2</v>
      </c>
      <c r="F4" s="2">
        <v>0.02</v>
      </c>
      <c r="H4">
        <v>3</v>
      </c>
    </row>
    <row r="5" spans="1:10" x14ac:dyDescent="0.25">
      <c r="A5" s="2">
        <v>0.1</v>
      </c>
      <c r="C5" s="2">
        <v>0.04</v>
      </c>
      <c r="E5" s="6">
        <v>0.02</v>
      </c>
      <c r="F5" s="2">
        <v>0.03</v>
      </c>
      <c r="H5">
        <v>4</v>
      </c>
    </row>
    <row r="6" spans="1:10" x14ac:dyDescent="0.25">
      <c r="A6" s="2">
        <v>0.15</v>
      </c>
      <c r="C6" s="2">
        <v>0.05</v>
      </c>
      <c r="E6" s="6">
        <v>0.03</v>
      </c>
      <c r="F6" s="2">
        <v>0.04</v>
      </c>
      <c r="H6">
        <v>5</v>
      </c>
    </row>
    <row r="7" spans="1:10" x14ac:dyDescent="0.25">
      <c r="A7" s="2">
        <v>0.2</v>
      </c>
      <c r="C7" s="2">
        <v>0.06</v>
      </c>
      <c r="E7" s="6">
        <v>0.04</v>
      </c>
      <c r="F7" s="2">
        <v>0.05</v>
      </c>
      <c r="H7">
        <v>6</v>
      </c>
    </row>
    <row r="8" spans="1:10" x14ac:dyDescent="0.25">
      <c r="A8" s="2">
        <v>0.25</v>
      </c>
      <c r="C8" s="2">
        <v>7.0000000000000007E-2</v>
      </c>
      <c r="E8" s="6">
        <v>0.05</v>
      </c>
      <c r="F8" s="2">
        <v>0.06</v>
      </c>
      <c r="H8">
        <v>7</v>
      </c>
    </row>
    <row r="9" spans="1:10" x14ac:dyDescent="0.25">
      <c r="A9" s="2">
        <v>0.3</v>
      </c>
      <c r="C9" s="2">
        <v>0.08</v>
      </c>
      <c r="E9" s="6">
        <v>0.06</v>
      </c>
      <c r="F9" s="2">
        <v>7.0000000000000007E-2</v>
      </c>
      <c r="H9">
        <v>8</v>
      </c>
    </row>
    <row r="10" spans="1:10" x14ac:dyDescent="0.25">
      <c r="A10" s="2">
        <v>0.35</v>
      </c>
      <c r="C10" s="2">
        <v>0.09</v>
      </c>
      <c r="E10" s="6">
        <v>7.0000000000000007E-2</v>
      </c>
      <c r="F10" s="2">
        <v>0.08</v>
      </c>
      <c r="H10">
        <v>9</v>
      </c>
    </row>
    <row r="11" spans="1:10" x14ac:dyDescent="0.25">
      <c r="A11" s="2">
        <f>A10+0.05</f>
        <v>0.39999999999999997</v>
      </c>
      <c r="C11" s="2">
        <v>0.1</v>
      </c>
      <c r="E11" s="6">
        <v>0.08</v>
      </c>
      <c r="F11" s="2">
        <v>0.09</v>
      </c>
      <c r="H11">
        <v>10</v>
      </c>
    </row>
    <row r="12" spans="1:10" x14ac:dyDescent="0.25">
      <c r="A12" s="2">
        <f t="shared" ref="A12:A22" si="0">A11+0.05</f>
        <v>0.44999999999999996</v>
      </c>
      <c r="F12" s="2">
        <v>0.1</v>
      </c>
      <c r="H12">
        <v>11</v>
      </c>
    </row>
    <row r="13" spans="1:10" x14ac:dyDescent="0.25">
      <c r="A13" s="2">
        <f t="shared" si="0"/>
        <v>0.49999999999999994</v>
      </c>
      <c r="H13">
        <v>12</v>
      </c>
    </row>
    <row r="14" spans="1:10" x14ac:dyDescent="0.25">
      <c r="A14" s="2">
        <f t="shared" si="0"/>
        <v>0.54999999999999993</v>
      </c>
      <c r="H14">
        <v>13</v>
      </c>
    </row>
    <row r="15" spans="1:10" x14ac:dyDescent="0.25">
      <c r="A15" s="2">
        <f t="shared" si="0"/>
        <v>0.6</v>
      </c>
      <c r="H15">
        <v>14</v>
      </c>
    </row>
    <row r="16" spans="1:10" x14ac:dyDescent="0.25">
      <c r="A16" s="2">
        <f t="shared" si="0"/>
        <v>0.65</v>
      </c>
      <c r="H16">
        <v>15</v>
      </c>
    </row>
    <row r="17" spans="1:8" x14ac:dyDescent="0.25">
      <c r="A17" s="2">
        <f t="shared" si="0"/>
        <v>0.70000000000000007</v>
      </c>
      <c r="H17">
        <v>16</v>
      </c>
    </row>
    <row r="18" spans="1:8" x14ac:dyDescent="0.25">
      <c r="A18" s="2">
        <f t="shared" si="0"/>
        <v>0.75000000000000011</v>
      </c>
      <c r="H18">
        <v>17</v>
      </c>
    </row>
    <row r="19" spans="1:8" x14ac:dyDescent="0.25">
      <c r="A19" s="2">
        <f>A18+0.05</f>
        <v>0.80000000000000016</v>
      </c>
      <c r="H19">
        <v>18</v>
      </c>
    </row>
    <row r="20" spans="1:8" x14ac:dyDescent="0.25">
      <c r="A20" s="2">
        <f t="shared" si="0"/>
        <v>0.8500000000000002</v>
      </c>
      <c r="H20">
        <v>19</v>
      </c>
    </row>
    <row r="21" spans="1:8" x14ac:dyDescent="0.25">
      <c r="A21" s="2">
        <f t="shared" si="0"/>
        <v>0.90000000000000024</v>
      </c>
      <c r="H21">
        <v>20</v>
      </c>
    </row>
    <row r="22" spans="1:8" x14ac:dyDescent="0.25">
      <c r="A22" s="2">
        <f t="shared" si="0"/>
        <v>0.95000000000000029</v>
      </c>
      <c r="H22">
        <v>21</v>
      </c>
    </row>
    <row r="23" spans="1:8" x14ac:dyDescent="0.25">
      <c r="A23" s="2">
        <f>A22+0.05</f>
        <v>1.0000000000000002</v>
      </c>
      <c r="H23">
        <v>22</v>
      </c>
    </row>
    <row r="24" spans="1:8" x14ac:dyDescent="0.25">
      <c r="H24">
        <v>23</v>
      </c>
    </row>
    <row r="25" spans="1:8" x14ac:dyDescent="0.25">
      <c r="H25">
        <v>24</v>
      </c>
    </row>
    <row r="26" spans="1:8" x14ac:dyDescent="0.25">
      <c r="H26">
        <v>25</v>
      </c>
    </row>
    <row r="27" spans="1:8" x14ac:dyDescent="0.25">
      <c r="H27">
        <v>26</v>
      </c>
    </row>
    <row r="28" spans="1:8" x14ac:dyDescent="0.25">
      <c r="H28">
        <v>27</v>
      </c>
    </row>
    <row r="29" spans="1:8" x14ac:dyDescent="0.25">
      <c r="H29">
        <v>28</v>
      </c>
    </row>
    <row r="30" spans="1:8" x14ac:dyDescent="0.25">
      <c r="H30">
        <v>29</v>
      </c>
    </row>
    <row r="31" spans="1:8" x14ac:dyDescent="0.25">
      <c r="H31">
        <v>30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1583-FDA8-48D9-924A-F4FAD3C99270}">
  <sheetPr codeName="Sheet4"/>
  <dimension ref="A1:E363"/>
  <sheetViews>
    <sheetView workbookViewId="0">
      <selection activeCell="F4" sqref="F4"/>
    </sheetView>
  </sheetViews>
  <sheetFormatPr defaultRowHeight="15" x14ac:dyDescent="0.25"/>
  <cols>
    <col min="2" max="2" width="17.28515625" bestFit="1" customWidth="1"/>
    <col min="3" max="3" width="23.5703125" bestFit="1" customWidth="1"/>
    <col min="4" max="4" width="23.5703125" customWidth="1"/>
    <col min="5" max="5" width="17.28515625" bestFit="1" customWidth="1"/>
  </cols>
  <sheetData>
    <row r="1" spans="1:5" ht="18.75" x14ac:dyDescent="0.3">
      <c r="A1" s="115" t="s">
        <v>61</v>
      </c>
      <c r="B1" s="115"/>
      <c r="C1" s="115"/>
      <c r="D1" s="5"/>
      <c r="E1" s="5"/>
    </row>
    <row r="2" spans="1:5" x14ac:dyDescent="0.25">
      <c r="E2" s="15"/>
    </row>
    <row r="3" spans="1:5" x14ac:dyDescent="0.25">
      <c r="A3" s="1" t="s">
        <v>62</v>
      </c>
      <c r="B3" s="1" t="s">
        <v>63</v>
      </c>
      <c r="C3" s="1" t="s">
        <v>64</v>
      </c>
      <c r="D3" s="1" t="s">
        <v>65</v>
      </c>
      <c r="E3" s="1" t="s">
        <v>66</v>
      </c>
    </row>
    <row r="4" spans="1:5" x14ac:dyDescent="0.25">
      <c r="A4">
        <v>1</v>
      </c>
      <c r="B4" s="4">
        <f>-PPMT('With Loan'!$D$41/12,'30% Down Amortization'!$A4,360,'With Loan'!$D$40,0,0)</f>
        <v>407.06969918275053</v>
      </c>
      <c r="C4" s="4">
        <f>-IPMT('With Loan'!$D$41/12,'30% Down Amortization'!$A4,360,'With Loan'!$D$40,0,0)</f>
        <v>670.71875</v>
      </c>
      <c r="D4" s="4">
        <f>B4+C4</f>
        <v>1077.7884491827506</v>
      </c>
      <c r="E4" s="4">
        <f>'With Loan'!$D$40-'30% Down Amortization'!B4</f>
        <v>247242.93030081724</v>
      </c>
    </row>
    <row r="5" spans="1:5" x14ac:dyDescent="0.25">
      <c r="A5">
        <v>2</v>
      </c>
      <c r="B5" s="4">
        <f>-PPMT('With Loan'!$D$41/12,'30% Down Amortization'!$A5,360,'With Loan'!$D$40,0,0)</f>
        <v>408.17217961803715</v>
      </c>
      <c r="C5" s="4">
        <f>-IPMT('With Loan'!$D$41/12,'30% Down Amortization'!$A5,360,'With Loan'!$D$40,0,0)</f>
        <v>669.61626956471321</v>
      </c>
      <c r="D5" s="4">
        <f t="shared" ref="D5:D68" si="0">B5+C5</f>
        <v>1077.7884491827504</v>
      </c>
      <c r="E5" s="3">
        <f>E4-B5</f>
        <v>246834.75812119921</v>
      </c>
    </row>
    <row r="6" spans="1:5" x14ac:dyDescent="0.25">
      <c r="A6">
        <v>3</v>
      </c>
      <c r="B6" s="4">
        <f>-PPMT('With Loan'!$D$41/12,'30% Down Amortization'!$A6,360,'With Loan'!$D$40,0,0)</f>
        <v>409.27764593783598</v>
      </c>
      <c r="C6" s="4">
        <f>-IPMT('With Loan'!$D$41/12,'30% Down Amortization'!$A6,360,'With Loan'!$D$40,0,0)</f>
        <v>668.51080324491454</v>
      </c>
      <c r="D6" s="4">
        <f t="shared" si="0"/>
        <v>1077.7884491827506</v>
      </c>
      <c r="E6" s="3">
        <f t="shared" ref="E6:E33" si="1">E5-B6</f>
        <v>246425.48047526137</v>
      </c>
    </row>
    <row r="7" spans="1:5" x14ac:dyDescent="0.25">
      <c r="A7">
        <v>4</v>
      </c>
      <c r="B7" s="4">
        <f>-PPMT('With Loan'!$D$41/12,'30% Down Amortization'!$A7,360,'With Loan'!$D$40,0,0)</f>
        <v>410.3861062289177</v>
      </c>
      <c r="C7" s="4">
        <f>-IPMT('With Loan'!$D$41/12,'30% Down Amortization'!$A7,360,'With Loan'!$D$40,0,0)</f>
        <v>667.40234295383289</v>
      </c>
      <c r="D7" s="4">
        <f t="shared" si="0"/>
        <v>1077.7884491827506</v>
      </c>
      <c r="E7" s="3">
        <f t="shared" si="1"/>
        <v>246015.09436903245</v>
      </c>
    </row>
    <row r="8" spans="1:5" x14ac:dyDescent="0.25">
      <c r="A8">
        <v>5</v>
      </c>
      <c r="B8" s="4">
        <f>-PPMT('With Loan'!$D$41/12,'30% Down Amortization'!$A8,360,'With Loan'!$D$40,0,0)</f>
        <v>411.49756859995432</v>
      </c>
      <c r="C8" s="4">
        <f>-IPMT('With Loan'!$D$41/12,'30% Down Amortization'!$A8,360,'With Loan'!$D$40,0,0)</f>
        <v>666.29088058279615</v>
      </c>
      <c r="D8" s="4">
        <f t="shared" si="0"/>
        <v>1077.7884491827504</v>
      </c>
      <c r="E8" s="3">
        <f t="shared" si="1"/>
        <v>245603.59680043248</v>
      </c>
    </row>
    <row r="9" spans="1:5" x14ac:dyDescent="0.25">
      <c r="A9">
        <v>6</v>
      </c>
      <c r="B9" s="4">
        <f>-PPMT('With Loan'!$D$41/12,'30% Down Amortization'!$A9,360,'With Loan'!$D$40,0,0)</f>
        <v>412.61204118157923</v>
      </c>
      <c r="C9" s="4">
        <f>-IPMT('With Loan'!$D$41/12,'30% Down Amortization'!$A9,360,'With Loan'!$D$40,0,0)</f>
        <v>665.17640800117135</v>
      </c>
      <c r="D9" s="4">
        <f t="shared" si="0"/>
        <v>1077.7884491827506</v>
      </c>
      <c r="E9" s="3">
        <f t="shared" si="1"/>
        <v>245190.98475925089</v>
      </c>
    </row>
    <row r="10" spans="1:5" x14ac:dyDescent="0.25">
      <c r="A10">
        <v>7</v>
      </c>
      <c r="B10" s="4">
        <f>-PPMT('With Loan'!$D$41/12,'30% Down Amortization'!$A10,360,'With Loan'!$D$40,0,0)</f>
        <v>413.72953212644592</v>
      </c>
      <c r="C10" s="4">
        <f>-IPMT('With Loan'!$D$41/12,'30% Down Amortization'!$A10,360,'With Loan'!$D$40,0,0)</f>
        <v>664.05891705630461</v>
      </c>
      <c r="D10" s="4">
        <f t="shared" si="0"/>
        <v>1077.7884491827506</v>
      </c>
      <c r="E10" s="3">
        <f t="shared" si="1"/>
        <v>244777.25522712443</v>
      </c>
    </row>
    <row r="11" spans="1:5" x14ac:dyDescent="0.25">
      <c r="A11">
        <v>8</v>
      </c>
      <c r="B11" s="4">
        <f>-PPMT('With Loan'!$D$41/12,'30% Down Amortization'!$A11,360,'With Loan'!$D$40,0,0)</f>
        <v>414.85004960928842</v>
      </c>
      <c r="C11" s="4">
        <f>-IPMT('With Loan'!$D$41/12,'30% Down Amortization'!$A11,360,'With Loan'!$D$40,0,0)</f>
        <v>662.93839957346211</v>
      </c>
      <c r="D11" s="4">
        <f t="shared" si="0"/>
        <v>1077.7884491827506</v>
      </c>
      <c r="E11" s="3">
        <f t="shared" si="1"/>
        <v>244362.40517751515</v>
      </c>
    </row>
    <row r="12" spans="1:5" x14ac:dyDescent="0.25">
      <c r="A12">
        <v>9</v>
      </c>
      <c r="B12" s="4">
        <f>-PPMT('With Loan'!$D$41/12,'30% Down Amortization'!$A12,360,'With Loan'!$D$40,0,0)</f>
        <v>415.97360182698026</v>
      </c>
      <c r="C12" s="4">
        <f>-IPMT('With Loan'!$D$41/12,'30% Down Amortization'!$A12,360,'With Loan'!$D$40,0,0)</f>
        <v>661.81484735577033</v>
      </c>
      <c r="D12" s="4">
        <f t="shared" si="0"/>
        <v>1077.7884491827506</v>
      </c>
      <c r="E12" s="3">
        <f t="shared" si="1"/>
        <v>243946.43157568816</v>
      </c>
    </row>
    <row r="13" spans="1:5" x14ac:dyDescent="0.25">
      <c r="A13">
        <v>10</v>
      </c>
      <c r="B13" s="4">
        <f>-PPMT('With Loan'!$D$41/12,'30% Down Amortization'!$A13,360,'With Loan'!$D$40,0,0)</f>
        <v>417.10019699859504</v>
      </c>
      <c r="C13" s="4">
        <f>-IPMT('With Loan'!$D$41/12,'30% Down Amortization'!$A13,360,'With Loan'!$D$40,0,0)</f>
        <v>660.68825218415554</v>
      </c>
      <c r="D13" s="4">
        <f t="shared" si="0"/>
        <v>1077.7884491827506</v>
      </c>
      <c r="E13" s="3">
        <f t="shared" si="1"/>
        <v>243529.33137868956</v>
      </c>
    </row>
    <row r="14" spans="1:5" x14ac:dyDescent="0.25">
      <c r="A14">
        <v>11</v>
      </c>
      <c r="B14" s="4">
        <f>-PPMT('With Loan'!$D$41/12,'30% Down Amortization'!$A14,360,'With Loan'!$D$40,0,0)</f>
        <v>418.22984336546619</v>
      </c>
      <c r="C14" s="4">
        <f>-IPMT('With Loan'!$D$41/12,'30% Down Amortization'!$A14,360,'With Loan'!$D$40,0,0)</f>
        <v>659.55860581728427</v>
      </c>
      <c r="D14" s="4">
        <f t="shared" si="0"/>
        <v>1077.7884491827504</v>
      </c>
      <c r="E14" s="3">
        <f t="shared" si="1"/>
        <v>243111.10153532409</v>
      </c>
    </row>
    <row r="15" spans="1:5" x14ac:dyDescent="0.25">
      <c r="A15">
        <v>12</v>
      </c>
      <c r="B15" s="4">
        <f>-PPMT('With Loan'!$D$41/12,'30% Down Amortization'!$A15,360,'With Loan'!$D$40,0,0)</f>
        <v>419.36254919124769</v>
      </c>
      <c r="C15" s="4">
        <f>-IPMT('With Loan'!$D$41/12,'30% Down Amortization'!$A15,360,'With Loan'!$D$40,0,0)</f>
        <v>658.42589999150289</v>
      </c>
      <c r="D15" s="4">
        <f t="shared" si="0"/>
        <v>1077.7884491827506</v>
      </c>
      <c r="E15" s="3">
        <f t="shared" si="1"/>
        <v>242691.73898613284</v>
      </c>
    </row>
    <row r="16" spans="1:5" x14ac:dyDescent="0.25">
      <c r="A16">
        <v>13</v>
      </c>
      <c r="B16" s="4">
        <f>-PPMT('With Loan'!$D$41/12,'30% Down Amortization'!$A16,360,'With Loan'!$D$40,0,0)</f>
        <v>420.4983227619739</v>
      </c>
      <c r="C16" s="4">
        <f>-IPMT('With Loan'!$D$41/12,'30% Down Amortization'!$A16,360,'With Loan'!$D$40,0,0)</f>
        <v>657.29012642077657</v>
      </c>
      <c r="D16" s="4">
        <f t="shared" si="0"/>
        <v>1077.7884491827504</v>
      </c>
      <c r="E16" s="3">
        <f t="shared" si="1"/>
        <v>242271.24066337087</v>
      </c>
    </row>
    <row r="17" spans="1:5" x14ac:dyDescent="0.25">
      <c r="A17">
        <v>14</v>
      </c>
      <c r="B17" s="4">
        <f>-PPMT('With Loan'!$D$41/12,'30% Down Amortization'!$A17,360,'With Loan'!$D$40,0,0)</f>
        <v>421.63717238612099</v>
      </c>
      <c r="C17" s="4">
        <f>-IPMT('With Loan'!$D$41/12,'30% Down Amortization'!$A17,360,'With Loan'!$D$40,0,0)</f>
        <v>656.15127679662965</v>
      </c>
      <c r="D17" s="4">
        <f t="shared" si="0"/>
        <v>1077.7884491827506</v>
      </c>
      <c r="E17" s="3">
        <f t="shared" si="1"/>
        <v>241849.60349098477</v>
      </c>
    </row>
    <row r="18" spans="1:5" x14ac:dyDescent="0.25">
      <c r="A18">
        <v>15</v>
      </c>
      <c r="B18" s="4">
        <f>-PPMT('With Loan'!$D$41/12,'30% Down Amortization'!$A18,360,'With Loan'!$D$40,0,0)</f>
        <v>422.77910639466671</v>
      </c>
      <c r="C18" s="4">
        <f>-IPMT('With Loan'!$D$41/12,'30% Down Amortization'!$A18,360,'With Loan'!$D$40,0,0)</f>
        <v>655.00934278808381</v>
      </c>
      <c r="D18" s="4">
        <f t="shared" si="0"/>
        <v>1077.7884491827506</v>
      </c>
      <c r="E18" s="3">
        <f t="shared" si="1"/>
        <v>241426.82438459009</v>
      </c>
    </row>
    <row r="19" spans="1:5" x14ac:dyDescent="0.25">
      <c r="A19">
        <v>16</v>
      </c>
      <c r="B19" s="4">
        <f>-PPMT('With Loan'!$D$41/12,'30% Down Amortization'!$A19,360,'With Loan'!$D$40,0,0)</f>
        <v>423.92413314115225</v>
      </c>
      <c r="C19" s="4">
        <f>-IPMT('With Loan'!$D$41/12,'30% Down Amortization'!$A19,360,'With Loan'!$D$40,0,0)</f>
        <v>653.86431604159839</v>
      </c>
      <c r="D19" s="4">
        <f t="shared" si="0"/>
        <v>1077.7884491827506</v>
      </c>
      <c r="E19" s="3">
        <f t="shared" si="1"/>
        <v>241002.90025144894</v>
      </c>
    </row>
    <row r="20" spans="1:5" x14ac:dyDescent="0.25">
      <c r="A20">
        <v>17</v>
      </c>
      <c r="B20" s="4">
        <f>-PPMT('With Loan'!$D$41/12,'30% Down Amortization'!$A20,360,'With Loan'!$D$40,0,0)</f>
        <v>425.0722610017429</v>
      </c>
      <c r="C20" s="4">
        <f>-IPMT('With Loan'!$D$41/12,'30% Down Amortization'!$A20,360,'With Loan'!$D$40,0,0)</f>
        <v>652.71618818100762</v>
      </c>
      <c r="D20" s="4">
        <f t="shared" si="0"/>
        <v>1077.7884491827506</v>
      </c>
      <c r="E20" s="3">
        <f t="shared" si="1"/>
        <v>240577.8279904472</v>
      </c>
    </row>
    <row r="21" spans="1:5" x14ac:dyDescent="0.25">
      <c r="A21">
        <v>18</v>
      </c>
      <c r="B21" s="4">
        <f>-PPMT('With Loan'!$D$41/12,'30% Down Amortization'!$A21,360,'With Loan'!$D$40,0,0)</f>
        <v>426.22349837528924</v>
      </c>
      <c r="C21" s="4">
        <f>-IPMT('With Loan'!$D$41/12,'30% Down Amortization'!$A21,360,'With Loan'!$D$40,0,0)</f>
        <v>651.56495080746129</v>
      </c>
      <c r="D21" s="4">
        <f t="shared" si="0"/>
        <v>1077.7884491827506</v>
      </c>
      <c r="E21" s="3">
        <f t="shared" si="1"/>
        <v>240151.6044920719</v>
      </c>
    </row>
    <row r="22" spans="1:5" x14ac:dyDescent="0.25">
      <c r="A22">
        <v>19</v>
      </c>
      <c r="B22" s="4">
        <f>-PPMT('With Loan'!$D$41/12,'30% Down Amortization'!$A22,360,'With Loan'!$D$40,0,0)</f>
        <v>427.37785368338905</v>
      </c>
      <c r="C22" s="4">
        <f>-IPMT('With Loan'!$D$41/12,'30% Down Amortization'!$A22,360,'With Loan'!$D$40,0,0)</f>
        <v>650.41059549936153</v>
      </c>
      <c r="D22" s="4">
        <f t="shared" si="0"/>
        <v>1077.7884491827506</v>
      </c>
      <c r="E22" s="3">
        <f t="shared" si="1"/>
        <v>239724.2266383885</v>
      </c>
    </row>
    <row r="23" spans="1:5" x14ac:dyDescent="0.25">
      <c r="A23">
        <v>20</v>
      </c>
      <c r="B23" s="4">
        <f>-PPMT('With Loan'!$D$41/12,'30% Down Amortization'!$A23,360,'With Loan'!$D$40,0,0)</f>
        <v>428.53533537044814</v>
      </c>
      <c r="C23" s="4">
        <f>-IPMT('With Loan'!$D$41/12,'30% Down Amortization'!$A23,360,'With Loan'!$D$40,0,0)</f>
        <v>649.25311381230256</v>
      </c>
      <c r="D23" s="4">
        <f t="shared" si="0"/>
        <v>1077.7884491827508</v>
      </c>
      <c r="E23" s="3">
        <f t="shared" si="1"/>
        <v>239295.69130301804</v>
      </c>
    </row>
    <row r="24" spans="1:5" x14ac:dyDescent="0.25">
      <c r="A24">
        <v>21</v>
      </c>
      <c r="B24" s="4">
        <f>-PPMT('With Loan'!$D$41/12,'30% Down Amortization'!$A24,360,'With Loan'!$D$40,0,0)</f>
        <v>429.69595190374315</v>
      </c>
      <c r="C24" s="4">
        <f>-IPMT('With Loan'!$D$41/12,'30% Down Amortization'!$A24,360,'With Loan'!$D$40,0,0)</f>
        <v>648.09249727900738</v>
      </c>
      <c r="D24" s="4">
        <f t="shared" si="0"/>
        <v>1077.7884491827506</v>
      </c>
      <c r="E24" s="3">
        <f t="shared" si="1"/>
        <v>238865.99535111431</v>
      </c>
    </row>
    <row r="25" spans="1:5" x14ac:dyDescent="0.25">
      <c r="A25">
        <v>22</v>
      </c>
      <c r="B25" s="4">
        <f>-PPMT('With Loan'!$D$41/12,'30% Down Amortization'!$A25,360,'With Loan'!$D$40,0,0)</f>
        <v>430.85971177348245</v>
      </c>
      <c r="C25" s="4">
        <f>-IPMT('With Loan'!$D$41/12,'30% Down Amortization'!$A25,360,'With Loan'!$D$40,0,0)</f>
        <v>646.92873740926814</v>
      </c>
      <c r="D25" s="4">
        <f t="shared" si="0"/>
        <v>1077.7884491827506</v>
      </c>
      <c r="E25" s="3">
        <f t="shared" si="1"/>
        <v>238435.13563934082</v>
      </c>
    </row>
    <row r="26" spans="1:5" x14ac:dyDescent="0.25">
      <c r="A26">
        <v>23</v>
      </c>
      <c r="B26" s="4">
        <f>-PPMT('With Loan'!$D$41/12,'30% Down Amortization'!$A26,360,'With Loan'!$D$40,0,0)</f>
        <v>432.02662349286896</v>
      </c>
      <c r="C26" s="4">
        <f>-IPMT('With Loan'!$D$41/12,'30% Down Amortization'!$A26,360,'With Loan'!$D$40,0,0)</f>
        <v>645.76182568988145</v>
      </c>
      <c r="D26" s="4">
        <f t="shared" si="0"/>
        <v>1077.7884491827504</v>
      </c>
      <c r="E26" s="3">
        <f t="shared" si="1"/>
        <v>238003.10901584796</v>
      </c>
    </row>
    <row r="27" spans="1:5" x14ac:dyDescent="0.25">
      <c r="A27">
        <v>24</v>
      </c>
      <c r="B27" s="4">
        <f>-PPMT('With Loan'!$D$41/12,'30% Down Amortization'!$A27,360,'With Loan'!$D$40,0,0)</f>
        <v>433.19669559816214</v>
      </c>
      <c r="C27" s="4">
        <f>-IPMT('With Loan'!$D$41/12,'30% Down Amortization'!$A27,360,'With Loan'!$D$40,0,0)</f>
        <v>644.59175358458845</v>
      </c>
      <c r="D27" s="4">
        <f t="shared" si="0"/>
        <v>1077.7884491827506</v>
      </c>
      <c r="E27" s="3">
        <f t="shared" si="1"/>
        <v>237569.9123202498</v>
      </c>
    </row>
    <row r="28" spans="1:5" x14ac:dyDescent="0.25">
      <c r="A28">
        <v>25</v>
      </c>
      <c r="B28" s="4">
        <f>-PPMT('With Loan'!$D$41/12,'30% Down Amortization'!$A28,360,'With Loan'!$D$40,0,0)</f>
        <v>434.36993664874058</v>
      </c>
      <c r="C28" s="4">
        <f>-IPMT('With Loan'!$D$41/12,'30% Down Amortization'!$A28,360,'With Loan'!$D$40,0,0)</f>
        <v>643.41851253401001</v>
      </c>
      <c r="D28" s="4">
        <f t="shared" si="0"/>
        <v>1077.7884491827506</v>
      </c>
      <c r="E28" s="3">
        <f t="shared" si="1"/>
        <v>237135.54238360107</v>
      </c>
    </row>
    <row r="29" spans="1:5" x14ac:dyDescent="0.25">
      <c r="A29">
        <v>26</v>
      </c>
      <c r="B29" s="4">
        <f>-PPMT('With Loan'!$D$41/12,'30% Down Amortization'!$A29,360,'With Loan'!$D$40,0,0)</f>
        <v>435.54635522716421</v>
      </c>
      <c r="C29" s="4">
        <f>-IPMT('With Loan'!$D$41/12,'30% Down Amortization'!$A29,360,'With Loan'!$D$40,0,0)</f>
        <v>642.24209395558626</v>
      </c>
      <c r="D29" s="4">
        <f t="shared" si="0"/>
        <v>1077.7884491827504</v>
      </c>
      <c r="E29" s="3">
        <f t="shared" si="1"/>
        <v>236699.99602837392</v>
      </c>
    </row>
    <row r="30" spans="1:5" x14ac:dyDescent="0.25">
      <c r="A30">
        <v>27</v>
      </c>
      <c r="B30" s="4">
        <f>-PPMT('With Loan'!$D$41/12,'30% Down Amortization'!$A30,360,'With Loan'!$D$40,0,0)</f>
        <v>436.72595993923778</v>
      </c>
      <c r="C30" s="4">
        <f>-IPMT('With Loan'!$D$41/12,'30% Down Amortization'!$A30,360,'With Loan'!$D$40,0,0)</f>
        <v>641.06248924351269</v>
      </c>
      <c r="D30" s="4">
        <f t="shared" si="0"/>
        <v>1077.7884491827504</v>
      </c>
      <c r="E30" s="3">
        <f t="shared" si="1"/>
        <v>236263.27006843468</v>
      </c>
    </row>
    <row r="31" spans="1:5" x14ac:dyDescent="0.25">
      <c r="A31">
        <v>28</v>
      </c>
      <c r="B31" s="4">
        <f>-PPMT('With Loan'!$D$41/12,'30% Down Amortization'!$A31,360,'With Loan'!$D$40,0,0)</f>
        <v>437.90875941407319</v>
      </c>
      <c r="C31" s="4">
        <f>-IPMT('With Loan'!$D$41/12,'30% Down Amortization'!$A31,360,'With Loan'!$D$40,0,0)</f>
        <v>639.87968976867739</v>
      </c>
      <c r="D31" s="4">
        <f t="shared" si="0"/>
        <v>1077.7884491827506</v>
      </c>
      <c r="E31" s="3">
        <f t="shared" si="1"/>
        <v>235825.36130902061</v>
      </c>
    </row>
    <row r="32" spans="1:5" x14ac:dyDescent="0.25">
      <c r="A32">
        <v>29</v>
      </c>
      <c r="B32" s="4">
        <f>-PPMT('With Loan'!$D$41/12,'30% Down Amortization'!$A32,360,'With Loan'!$D$40,0,0)</f>
        <v>439.09476230415305</v>
      </c>
      <c r="C32" s="4">
        <f>-IPMT('With Loan'!$D$41/12,'30% Down Amortization'!$A32,360,'With Loan'!$D$40,0,0)</f>
        <v>638.69368687859753</v>
      </c>
      <c r="D32" s="4">
        <f t="shared" si="0"/>
        <v>1077.7884491827506</v>
      </c>
      <c r="E32" s="3">
        <f t="shared" si="1"/>
        <v>235386.26654671645</v>
      </c>
    </row>
    <row r="33" spans="1:5" x14ac:dyDescent="0.25">
      <c r="A33">
        <v>30</v>
      </c>
      <c r="B33" s="4">
        <f>-PPMT('With Loan'!$D$41/12,'30% Down Amortization'!$A33,360,'With Loan'!$D$40,0,0)</f>
        <v>440.28397728539341</v>
      </c>
      <c r="C33" s="4">
        <f>-IPMT('With Loan'!$D$41/12,'30% Down Amortization'!$A33,360,'With Loan'!$D$40,0,0)</f>
        <v>637.50447189735712</v>
      </c>
      <c r="D33" s="4">
        <f t="shared" si="0"/>
        <v>1077.7884491827506</v>
      </c>
      <c r="E33" s="3">
        <f t="shared" si="1"/>
        <v>234945.98256943104</v>
      </c>
    </row>
    <row r="34" spans="1:5" x14ac:dyDescent="0.25">
      <c r="A34">
        <v>31</v>
      </c>
      <c r="B34" s="4">
        <f>-PPMT('With Loan'!$D$41/12,'30% Down Amortization'!$A34,360,'With Loan'!$D$40,0,0)</f>
        <v>441.47641305720794</v>
      </c>
      <c r="C34" s="4">
        <f>-IPMT('With Loan'!$D$41/12,'30% Down Amortization'!$A34,360,'With Loan'!$D$40,0,0)</f>
        <v>636.31203612554259</v>
      </c>
      <c r="D34" s="4">
        <f t="shared" si="0"/>
        <v>1077.7884491827506</v>
      </c>
      <c r="E34" s="3">
        <f t="shared" ref="E34:E97" si="2">E33-B34</f>
        <v>234504.50615637383</v>
      </c>
    </row>
    <row r="35" spans="1:5" x14ac:dyDescent="0.25">
      <c r="A35">
        <v>32</v>
      </c>
      <c r="B35" s="4">
        <f>-PPMT('With Loan'!$D$41/12,'30% Down Amortization'!$A35,360,'With Loan'!$D$40,0,0)</f>
        <v>442.6720783425713</v>
      </c>
      <c r="C35" s="4">
        <f>-IPMT('With Loan'!$D$41/12,'30% Down Amortization'!$A35,360,'With Loan'!$D$40,0,0)</f>
        <v>635.11637084017934</v>
      </c>
      <c r="D35" s="4">
        <f t="shared" si="0"/>
        <v>1077.7884491827506</v>
      </c>
      <c r="E35" s="3">
        <f t="shared" si="2"/>
        <v>234061.83407803124</v>
      </c>
    </row>
    <row r="36" spans="1:5" x14ac:dyDescent="0.25">
      <c r="A36">
        <v>33</v>
      </c>
      <c r="B36" s="4">
        <f>-PPMT('With Loan'!$D$41/12,'30% Down Amortization'!$A36,360,'With Loan'!$D$40,0,0)</f>
        <v>443.87098188808238</v>
      </c>
      <c r="C36" s="4">
        <f>-IPMT('With Loan'!$D$41/12,'30% Down Amortization'!$A36,360,'With Loan'!$D$40,0,0)</f>
        <v>633.9174672946682</v>
      </c>
      <c r="D36" s="4">
        <f t="shared" si="0"/>
        <v>1077.7884491827506</v>
      </c>
      <c r="E36" s="3">
        <f t="shared" si="2"/>
        <v>233617.96309614315</v>
      </c>
    </row>
    <row r="37" spans="1:5" x14ac:dyDescent="0.25">
      <c r="A37">
        <v>34</v>
      </c>
      <c r="B37" s="4">
        <f>-PPMT('With Loan'!$D$41/12,'30% Down Amortization'!$A37,360,'With Loan'!$D$40,0,0)</f>
        <v>445.07313246402924</v>
      </c>
      <c r="C37" s="4">
        <f>-IPMT('With Loan'!$D$41/12,'30% Down Amortization'!$A37,360,'With Loan'!$D$40,0,0)</f>
        <v>632.71531671872128</v>
      </c>
      <c r="D37" s="4">
        <f t="shared" si="0"/>
        <v>1077.7884491827506</v>
      </c>
      <c r="E37" s="3">
        <f t="shared" si="2"/>
        <v>233172.88996367913</v>
      </c>
    </row>
    <row r="38" spans="1:5" x14ac:dyDescent="0.25">
      <c r="A38">
        <v>35</v>
      </c>
      <c r="B38" s="4">
        <f>-PPMT('With Loan'!$D$41/12,'30% Down Amortization'!$A38,360,'With Loan'!$D$40,0,0)</f>
        <v>446.27853886445268</v>
      </c>
      <c r="C38" s="4">
        <f>-IPMT('With Loan'!$D$41/12,'30% Down Amortization'!$A38,360,'With Loan'!$D$40,0,0)</f>
        <v>631.50991031829778</v>
      </c>
      <c r="D38" s="4">
        <f t="shared" si="0"/>
        <v>1077.7884491827504</v>
      </c>
      <c r="E38" s="3">
        <f t="shared" si="2"/>
        <v>232726.61142481468</v>
      </c>
    </row>
    <row r="39" spans="1:5" x14ac:dyDescent="0.25">
      <c r="A39">
        <v>36</v>
      </c>
      <c r="B39" s="4">
        <f>-PPMT('With Loan'!$D$41/12,'30% Down Amortization'!$A39,360,'With Loan'!$D$40,0,0)</f>
        <v>447.48720990721063</v>
      </c>
      <c r="C39" s="4">
        <f>-IPMT('With Loan'!$D$41/12,'30% Down Amortization'!$A39,360,'With Loan'!$D$40,0,0)</f>
        <v>630.30123927553996</v>
      </c>
      <c r="D39" s="4">
        <f t="shared" si="0"/>
        <v>1077.7884491827506</v>
      </c>
      <c r="E39" s="3">
        <f t="shared" si="2"/>
        <v>232279.12421490747</v>
      </c>
    </row>
    <row r="40" spans="1:5" x14ac:dyDescent="0.25">
      <c r="A40">
        <v>37</v>
      </c>
      <c r="B40" s="4">
        <f>-PPMT('With Loan'!$D$41/12,'30% Down Amortization'!$A40,360,'With Loan'!$D$40,0,0)</f>
        <v>448.69915443404261</v>
      </c>
      <c r="C40" s="4">
        <f>-IPMT('With Loan'!$D$41/12,'30% Down Amortization'!$A40,360,'With Loan'!$D$40,0,0)</f>
        <v>629.08929474870774</v>
      </c>
      <c r="D40" s="4">
        <f t="shared" si="0"/>
        <v>1077.7884491827504</v>
      </c>
      <c r="E40" s="3">
        <f t="shared" si="2"/>
        <v>231830.42506047341</v>
      </c>
    </row>
    <row r="41" spans="1:5" x14ac:dyDescent="0.25">
      <c r="A41">
        <v>38</v>
      </c>
      <c r="B41" s="4">
        <f>-PPMT('With Loan'!$D$41/12,'30% Down Amortization'!$A41,360,'With Loan'!$D$40,0,0)</f>
        <v>449.91438131063484</v>
      </c>
      <c r="C41" s="4">
        <f>-IPMT('With Loan'!$D$41/12,'30% Down Amortization'!$A41,360,'With Loan'!$D$40,0,0)</f>
        <v>627.8740678721158</v>
      </c>
      <c r="D41" s="4">
        <f t="shared" si="0"/>
        <v>1077.7884491827506</v>
      </c>
      <c r="E41" s="3">
        <f t="shared" si="2"/>
        <v>231380.51067916278</v>
      </c>
    </row>
    <row r="42" spans="1:5" x14ac:dyDescent="0.25">
      <c r="A42">
        <v>39</v>
      </c>
      <c r="B42" s="4">
        <f>-PPMT('With Loan'!$D$41/12,'30% Down Amortization'!$A42,360,'With Loan'!$D$40,0,0)</f>
        <v>451.1328994266845</v>
      </c>
      <c r="C42" s="4">
        <f>-IPMT('With Loan'!$D$41/12,'30% Down Amortization'!$A42,360,'With Loan'!$D$40,0,0)</f>
        <v>626.65554975606597</v>
      </c>
      <c r="D42" s="4">
        <f t="shared" si="0"/>
        <v>1077.7884491827504</v>
      </c>
      <c r="E42" s="3">
        <f t="shared" si="2"/>
        <v>230929.3777797361</v>
      </c>
    </row>
    <row r="43" spans="1:5" x14ac:dyDescent="0.25">
      <c r="A43">
        <v>40</v>
      </c>
      <c r="B43" s="4">
        <f>-PPMT('With Loan'!$D$41/12,'30% Down Amortization'!$A43,360,'With Loan'!$D$40,0,0)</f>
        <v>452.35471769596506</v>
      </c>
      <c r="C43" s="4">
        <f>-IPMT('With Loan'!$D$41/12,'30% Down Amortization'!$A43,360,'With Loan'!$D$40,0,0)</f>
        <v>625.4337314867854</v>
      </c>
      <c r="D43" s="4">
        <f t="shared" si="0"/>
        <v>1077.7884491827504</v>
      </c>
      <c r="E43" s="3">
        <f t="shared" si="2"/>
        <v>230477.02306204013</v>
      </c>
    </row>
    <row r="44" spans="1:5" x14ac:dyDescent="0.25">
      <c r="A44">
        <v>41</v>
      </c>
      <c r="B44" s="4">
        <f>-PPMT('With Loan'!$D$41/12,'30% Down Amortization'!$A44,360,'With Loan'!$D$40,0,0)</f>
        <v>453.57984505639166</v>
      </c>
      <c r="C44" s="4">
        <f>-IPMT('With Loan'!$D$41/12,'30% Down Amortization'!$A44,360,'With Loan'!$D$40,0,0)</f>
        <v>624.20860412635886</v>
      </c>
      <c r="D44" s="4">
        <f t="shared" si="0"/>
        <v>1077.7884491827506</v>
      </c>
      <c r="E44" s="3">
        <f t="shared" si="2"/>
        <v>230023.44321698372</v>
      </c>
    </row>
    <row r="45" spans="1:5" x14ac:dyDescent="0.25">
      <c r="A45">
        <v>42</v>
      </c>
      <c r="B45" s="4">
        <f>-PPMT('With Loan'!$D$41/12,'30% Down Amortization'!$A45,360,'With Loan'!$D$40,0,0)</f>
        <v>454.80829047008604</v>
      </c>
      <c r="C45" s="4">
        <f>-IPMT('With Loan'!$D$41/12,'30% Down Amortization'!$A45,360,'With Loan'!$D$40,0,0)</f>
        <v>622.98015871266455</v>
      </c>
      <c r="D45" s="4">
        <f t="shared" si="0"/>
        <v>1077.7884491827506</v>
      </c>
      <c r="E45" s="3">
        <f t="shared" si="2"/>
        <v>229568.63492651362</v>
      </c>
    </row>
    <row r="46" spans="1:5" x14ac:dyDescent="0.25">
      <c r="A46">
        <v>43</v>
      </c>
      <c r="B46" s="4">
        <f>-PPMT('With Loan'!$D$41/12,'30% Down Amortization'!$A46,360,'With Loan'!$D$40,0,0)</f>
        <v>456.04006292344246</v>
      </c>
      <c r="C46" s="4">
        <f>-IPMT('With Loan'!$D$41/12,'30% Down Amortization'!$A46,360,'With Loan'!$D$40,0,0)</f>
        <v>621.74838625930806</v>
      </c>
      <c r="D46" s="4">
        <f t="shared" si="0"/>
        <v>1077.7884491827506</v>
      </c>
      <c r="E46" s="3">
        <f t="shared" si="2"/>
        <v>229112.59486359017</v>
      </c>
    </row>
    <row r="47" spans="1:5" x14ac:dyDescent="0.25">
      <c r="A47">
        <v>44</v>
      </c>
      <c r="B47" s="4">
        <f>-PPMT('With Loan'!$D$41/12,'30% Down Amortization'!$A47,360,'With Loan'!$D$40,0,0)</f>
        <v>457.27517142719347</v>
      </c>
      <c r="C47" s="4">
        <f>-IPMT('With Loan'!$D$41/12,'30% Down Amortization'!$A47,360,'With Loan'!$D$40,0,0)</f>
        <v>620.51327775555694</v>
      </c>
      <c r="D47" s="4">
        <f t="shared" si="0"/>
        <v>1077.7884491827504</v>
      </c>
      <c r="E47" s="3">
        <f t="shared" si="2"/>
        <v>228655.31969216297</v>
      </c>
    </row>
    <row r="48" spans="1:5" x14ac:dyDescent="0.25">
      <c r="A48">
        <v>45</v>
      </c>
      <c r="B48" s="4">
        <f>-PPMT('With Loan'!$D$41/12,'30% Down Amortization'!$A48,360,'With Loan'!$D$40,0,0)</f>
        <v>458.51362501647549</v>
      </c>
      <c r="C48" s="4">
        <f>-IPMT('With Loan'!$D$41/12,'30% Down Amortization'!$A48,360,'With Loan'!$D$40,0,0)</f>
        <v>619.27482416627504</v>
      </c>
      <c r="D48" s="4">
        <f t="shared" si="0"/>
        <v>1077.7884491827506</v>
      </c>
      <c r="E48" s="3">
        <f t="shared" si="2"/>
        <v>228196.80606714651</v>
      </c>
    </row>
    <row r="49" spans="1:5" x14ac:dyDescent="0.25">
      <c r="A49">
        <v>46</v>
      </c>
      <c r="B49" s="4">
        <f>-PPMT('With Loan'!$D$41/12,'30% Down Amortization'!$A49,360,'With Loan'!$D$40,0,0)</f>
        <v>459.75543275089512</v>
      </c>
      <c r="C49" s="4">
        <f>-IPMT('With Loan'!$D$41/12,'30% Down Amortization'!$A49,360,'With Loan'!$D$40,0,0)</f>
        <v>618.03301643185546</v>
      </c>
      <c r="D49" s="4">
        <f t="shared" si="0"/>
        <v>1077.7884491827506</v>
      </c>
      <c r="E49" s="3">
        <f t="shared" si="2"/>
        <v>227737.05063439562</v>
      </c>
    </row>
    <row r="50" spans="1:5" x14ac:dyDescent="0.25">
      <c r="A50">
        <v>47</v>
      </c>
      <c r="B50" s="4">
        <f>-PPMT('With Loan'!$D$41/12,'30% Down Amortization'!$A50,360,'With Loan'!$D$40,0,0)</f>
        <v>461.0006037145954</v>
      </c>
      <c r="C50" s="4">
        <f>-IPMT('With Loan'!$D$41/12,'30% Down Amortization'!$A50,360,'With Loan'!$D$40,0,0)</f>
        <v>616.78784546815496</v>
      </c>
      <c r="D50" s="4">
        <f t="shared" si="0"/>
        <v>1077.7884491827504</v>
      </c>
      <c r="E50" s="3">
        <f t="shared" si="2"/>
        <v>227276.05003068101</v>
      </c>
    </row>
    <row r="51" spans="1:5" x14ac:dyDescent="0.25">
      <c r="A51">
        <v>48</v>
      </c>
      <c r="B51" s="4">
        <f>-PPMT('With Loan'!$D$41/12,'30% Down Amortization'!$A51,360,'With Loan'!$D$40,0,0)</f>
        <v>462.24914701632247</v>
      </c>
      <c r="C51" s="4">
        <f>-IPMT('With Loan'!$D$41/12,'30% Down Amortization'!$A51,360,'With Loan'!$D$40,0,0)</f>
        <v>615.53930216642812</v>
      </c>
      <c r="D51" s="4">
        <f t="shared" si="0"/>
        <v>1077.7884491827506</v>
      </c>
      <c r="E51" s="3">
        <f t="shared" si="2"/>
        <v>226813.80088366469</v>
      </c>
    </row>
    <row r="52" spans="1:5" x14ac:dyDescent="0.25">
      <c r="A52">
        <v>49</v>
      </c>
      <c r="B52" s="4">
        <f>-PPMT('With Loan'!$D$41/12,'30% Down Amortization'!$A52,360,'With Loan'!$D$40,0,0)</f>
        <v>463.50107178949168</v>
      </c>
      <c r="C52" s="4">
        <f>-IPMT('With Loan'!$D$41/12,'30% Down Amortization'!$A52,360,'With Loan'!$D$40,0,0)</f>
        <v>614.28737739325879</v>
      </c>
      <c r="D52" s="4">
        <f t="shared" si="0"/>
        <v>1077.7884491827504</v>
      </c>
      <c r="E52" s="3">
        <f t="shared" si="2"/>
        <v>226350.29981187519</v>
      </c>
    </row>
    <row r="53" spans="1:5" x14ac:dyDescent="0.25">
      <c r="A53">
        <v>50</v>
      </c>
      <c r="B53" s="4">
        <f>-PPMT('With Loan'!$D$41/12,'30% Down Amortization'!$A53,360,'With Loan'!$D$40,0,0)</f>
        <v>464.75638719225492</v>
      </c>
      <c r="C53" s="4">
        <f>-IPMT('With Loan'!$D$41/12,'30% Down Amortization'!$A53,360,'With Loan'!$D$40,0,0)</f>
        <v>613.03206199049555</v>
      </c>
      <c r="D53" s="4">
        <f t="shared" si="0"/>
        <v>1077.7884491827504</v>
      </c>
      <c r="E53" s="3">
        <f t="shared" si="2"/>
        <v>225885.54342468292</v>
      </c>
    </row>
    <row r="54" spans="1:5" x14ac:dyDescent="0.25">
      <c r="A54">
        <v>51</v>
      </c>
      <c r="B54" s="4">
        <f>-PPMT('With Loan'!$D$41/12,'30% Down Amortization'!$A54,360,'With Loan'!$D$40,0,0)</f>
        <v>466.01510240756727</v>
      </c>
      <c r="C54" s="4">
        <f>-IPMT('With Loan'!$D$41/12,'30% Down Amortization'!$A54,360,'With Loan'!$D$40,0,0)</f>
        <v>611.77334677518331</v>
      </c>
      <c r="D54" s="4">
        <f t="shared" si="0"/>
        <v>1077.7884491827506</v>
      </c>
      <c r="E54" s="3">
        <f t="shared" si="2"/>
        <v>225419.52832227535</v>
      </c>
    </row>
    <row r="55" spans="1:5" x14ac:dyDescent="0.25">
      <c r="A55">
        <v>52</v>
      </c>
      <c r="B55" s="4">
        <f>-PPMT('With Loan'!$D$41/12,'30% Down Amortization'!$A55,360,'With Loan'!$D$40,0,0)</f>
        <v>467.27722664325438</v>
      </c>
      <c r="C55" s="4">
        <f>-IPMT('With Loan'!$D$41/12,'30% Down Amortization'!$A55,360,'With Loan'!$D$40,0,0)</f>
        <v>610.5112225394962</v>
      </c>
      <c r="D55" s="4">
        <f t="shared" si="0"/>
        <v>1077.7884491827506</v>
      </c>
      <c r="E55" s="3">
        <f t="shared" si="2"/>
        <v>224952.25109563209</v>
      </c>
    </row>
    <row r="56" spans="1:5" x14ac:dyDescent="0.25">
      <c r="A56">
        <v>53</v>
      </c>
      <c r="B56" s="4">
        <f>-PPMT('With Loan'!$D$41/12,'30% Down Amortization'!$A56,360,'With Loan'!$D$40,0,0)</f>
        <v>468.54276913207985</v>
      </c>
      <c r="C56" s="4">
        <f>-IPMT('With Loan'!$D$41/12,'30% Down Amortization'!$A56,360,'With Loan'!$D$40,0,0)</f>
        <v>609.24568005067056</v>
      </c>
      <c r="D56" s="4">
        <f t="shared" si="0"/>
        <v>1077.7884491827504</v>
      </c>
      <c r="E56" s="3">
        <f t="shared" si="2"/>
        <v>224483.70832650003</v>
      </c>
    </row>
    <row r="57" spans="1:5" x14ac:dyDescent="0.25">
      <c r="A57">
        <v>54</v>
      </c>
      <c r="B57" s="4">
        <f>-PPMT('With Loan'!$D$41/12,'30% Down Amortization'!$A57,360,'With Loan'!$D$40,0,0)</f>
        <v>469.8117391318126</v>
      </c>
      <c r="C57" s="4">
        <f>-IPMT('With Loan'!$D$41/12,'30% Down Amortization'!$A57,360,'With Loan'!$D$40,0,0)</f>
        <v>607.97671005093787</v>
      </c>
      <c r="D57" s="4">
        <f t="shared" si="0"/>
        <v>1077.7884491827504</v>
      </c>
      <c r="E57" s="3">
        <f t="shared" si="2"/>
        <v>224013.89658736822</v>
      </c>
    </row>
    <row r="58" spans="1:5" x14ac:dyDescent="0.25">
      <c r="A58">
        <v>55</v>
      </c>
      <c r="B58" s="4">
        <f>-PPMT('With Loan'!$D$41/12,'30% Down Amortization'!$A58,360,'With Loan'!$D$40,0,0)</f>
        <v>471.08414592529459</v>
      </c>
      <c r="C58" s="4">
        <f>-IPMT('With Loan'!$D$41/12,'30% Down Amortization'!$A58,360,'With Loan'!$D$40,0,0)</f>
        <v>606.70430325745588</v>
      </c>
      <c r="D58" s="4">
        <f t="shared" si="0"/>
        <v>1077.7884491827504</v>
      </c>
      <c r="E58" s="3">
        <f t="shared" si="2"/>
        <v>223542.81244144292</v>
      </c>
    </row>
    <row r="59" spans="1:5" x14ac:dyDescent="0.25">
      <c r="A59">
        <v>56</v>
      </c>
      <c r="B59" s="4">
        <f>-PPMT('With Loan'!$D$41/12,'30% Down Amortization'!$A59,360,'With Loan'!$D$40,0,0)</f>
        <v>472.35999882050896</v>
      </c>
      <c r="C59" s="4">
        <f>-IPMT('With Loan'!$D$41/12,'30% Down Amortization'!$A59,360,'With Loan'!$D$40,0,0)</f>
        <v>605.42845036224162</v>
      </c>
      <c r="D59" s="4">
        <f t="shared" si="0"/>
        <v>1077.7884491827506</v>
      </c>
      <c r="E59" s="3">
        <f t="shared" si="2"/>
        <v>223070.45244262242</v>
      </c>
    </row>
    <row r="60" spans="1:5" x14ac:dyDescent="0.25">
      <c r="A60">
        <v>57</v>
      </c>
      <c r="B60" s="4">
        <f>-PPMT('With Loan'!$D$41/12,'30% Down Amortization'!$A60,360,'With Loan'!$D$40,0,0)</f>
        <v>473.63930715064782</v>
      </c>
      <c r="C60" s="4">
        <f>-IPMT('With Loan'!$D$41/12,'30% Down Amortization'!$A60,360,'With Loan'!$D$40,0,0)</f>
        <v>604.14914203210265</v>
      </c>
      <c r="D60" s="4">
        <f t="shared" si="0"/>
        <v>1077.7884491827504</v>
      </c>
      <c r="E60" s="3">
        <f t="shared" si="2"/>
        <v>222596.81313547178</v>
      </c>
    </row>
    <row r="61" spans="1:5" x14ac:dyDescent="0.25">
      <c r="A61">
        <v>58</v>
      </c>
      <c r="B61" s="4">
        <f>-PPMT('With Loan'!$D$41/12,'30% Down Amortization'!$A61,360,'With Loan'!$D$40,0,0)</f>
        <v>474.92208027418087</v>
      </c>
      <c r="C61" s="4">
        <f>-IPMT('With Loan'!$D$41/12,'30% Down Amortization'!$A61,360,'With Loan'!$D$40,0,0)</f>
        <v>602.8663689085696</v>
      </c>
      <c r="D61" s="4">
        <f t="shared" si="0"/>
        <v>1077.7884491827504</v>
      </c>
      <c r="E61" s="3">
        <f t="shared" si="2"/>
        <v>222121.8910551976</v>
      </c>
    </row>
    <row r="62" spans="1:5" x14ac:dyDescent="0.25">
      <c r="A62">
        <v>59</v>
      </c>
      <c r="B62" s="4">
        <f>-PPMT('With Loan'!$D$41/12,'30% Down Amortization'!$A62,360,'With Loan'!$D$40,0,0)</f>
        <v>476.20832757492337</v>
      </c>
      <c r="C62" s="4">
        <f>-IPMT('With Loan'!$D$41/12,'30% Down Amortization'!$A62,360,'With Loan'!$D$40,0,0)</f>
        <v>601.5801216078271</v>
      </c>
      <c r="D62" s="4">
        <f t="shared" si="0"/>
        <v>1077.7884491827504</v>
      </c>
      <c r="E62" s="3">
        <f t="shared" si="2"/>
        <v>221645.68272762268</v>
      </c>
    </row>
    <row r="63" spans="1:5" x14ac:dyDescent="0.25">
      <c r="A63">
        <v>60</v>
      </c>
      <c r="B63" s="4">
        <f>-PPMT('With Loan'!$D$41/12,'30% Down Amortization'!$A63,360,'With Loan'!$D$40,0,0)</f>
        <v>477.49805846210552</v>
      </c>
      <c r="C63" s="4">
        <f>-IPMT('With Loan'!$D$41/12,'30% Down Amortization'!$A63,360,'With Loan'!$D$40,0,0)</f>
        <v>600.29039072064506</v>
      </c>
      <c r="D63" s="4">
        <f t="shared" si="0"/>
        <v>1077.7884491827506</v>
      </c>
      <c r="E63" s="3">
        <f t="shared" si="2"/>
        <v>221168.18466916058</v>
      </c>
    </row>
    <row r="64" spans="1:5" x14ac:dyDescent="0.25">
      <c r="A64">
        <v>61</v>
      </c>
      <c r="B64" s="4">
        <f>-PPMT('With Loan'!$D$41/12,'30% Down Amortization'!$A64,360,'With Loan'!$D$40,0,0)</f>
        <v>478.79128237044029</v>
      </c>
      <c r="C64" s="4">
        <f>-IPMT('With Loan'!$D$41/12,'30% Down Amortization'!$A64,360,'With Loan'!$D$40,0,0)</f>
        <v>598.99716681231018</v>
      </c>
      <c r="D64" s="4">
        <f t="shared" si="0"/>
        <v>1077.7884491827504</v>
      </c>
      <c r="E64" s="3">
        <f t="shared" si="2"/>
        <v>220689.39338679012</v>
      </c>
    </row>
    <row r="65" spans="1:5" x14ac:dyDescent="0.25">
      <c r="A65">
        <v>62</v>
      </c>
      <c r="B65" s="4">
        <f>-PPMT('With Loan'!$D$41/12,'30% Down Amortization'!$A65,360,'With Loan'!$D$40,0,0)</f>
        <v>480.08800876019365</v>
      </c>
      <c r="C65" s="4">
        <f>-IPMT('With Loan'!$D$41/12,'30% Down Amortization'!$A65,360,'With Loan'!$D$40,0,0)</f>
        <v>597.70044042255688</v>
      </c>
      <c r="D65" s="4">
        <f t="shared" si="0"/>
        <v>1077.7884491827506</v>
      </c>
      <c r="E65" s="3">
        <f t="shared" si="2"/>
        <v>220209.30537802994</v>
      </c>
    </row>
    <row r="66" spans="1:5" x14ac:dyDescent="0.25">
      <c r="A66">
        <v>63</v>
      </c>
      <c r="B66" s="4">
        <f>-PPMT('With Loan'!$D$41/12,'30% Down Amortization'!$A66,360,'With Loan'!$D$40,0,0)</f>
        <v>481.38824711725255</v>
      </c>
      <c r="C66" s="4">
        <f>-IPMT('With Loan'!$D$41/12,'30% Down Amortization'!$A66,360,'With Loan'!$D$40,0,0)</f>
        <v>596.40020206549798</v>
      </c>
      <c r="D66" s="4">
        <f t="shared" si="0"/>
        <v>1077.7884491827506</v>
      </c>
      <c r="E66" s="3">
        <f t="shared" si="2"/>
        <v>219727.91713091268</v>
      </c>
    </row>
    <row r="67" spans="1:5" x14ac:dyDescent="0.25">
      <c r="A67">
        <v>64</v>
      </c>
      <c r="B67" s="4">
        <f>-PPMT('With Loan'!$D$41/12,'30% Down Amortization'!$A67,360,'With Loan'!$D$40,0,0)</f>
        <v>482.692006953195</v>
      </c>
      <c r="C67" s="4">
        <f>-IPMT('With Loan'!$D$41/12,'30% Down Amortization'!$A67,360,'With Loan'!$D$40,0,0)</f>
        <v>595.09644222955558</v>
      </c>
      <c r="D67" s="4">
        <f t="shared" si="0"/>
        <v>1077.7884491827506</v>
      </c>
      <c r="E67" s="3">
        <f t="shared" si="2"/>
        <v>219245.22512395948</v>
      </c>
    </row>
    <row r="68" spans="1:5" x14ac:dyDescent="0.25">
      <c r="A68">
        <v>65</v>
      </c>
      <c r="B68" s="4">
        <f>-PPMT('With Loan'!$D$41/12,'30% Down Amortization'!$A68,360,'With Loan'!$D$40,0,0)</f>
        <v>483.99929780535996</v>
      </c>
      <c r="C68" s="4">
        <f>-IPMT('With Loan'!$D$41/12,'30% Down Amortization'!$A68,360,'With Loan'!$D$40,0,0)</f>
        <v>593.78915137739068</v>
      </c>
      <c r="D68" s="4">
        <f t="shared" si="0"/>
        <v>1077.7884491827506</v>
      </c>
      <c r="E68" s="3">
        <f t="shared" si="2"/>
        <v>218761.22582615411</v>
      </c>
    </row>
    <row r="69" spans="1:5" x14ac:dyDescent="0.25">
      <c r="A69">
        <v>66</v>
      </c>
      <c r="B69" s="4">
        <f>-PPMT('With Loan'!$D$41/12,'30% Down Amortization'!$A69,360,'With Loan'!$D$40,0,0)</f>
        <v>485.31012923691611</v>
      </c>
      <c r="C69" s="4">
        <f>-IPMT('With Loan'!$D$41/12,'30% Down Amortization'!$A69,360,'With Loan'!$D$40,0,0)</f>
        <v>592.47831994583453</v>
      </c>
      <c r="D69" s="4">
        <f t="shared" ref="D69:D132" si="3">B69+C69</f>
        <v>1077.7884491827506</v>
      </c>
      <c r="E69" s="3">
        <f t="shared" si="2"/>
        <v>218275.91569691719</v>
      </c>
    </row>
    <row r="70" spans="1:5" x14ac:dyDescent="0.25">
      <c r="A70">
        <v>67</v>
      </c>
      <c r="B70" s="4">
        <f>-PPMT('With Loan'!$D$41/12,'30% Down Amortization'!$A70,360,'With Loan'!$D$40,0,0)</f>
        <v>486.62451083693281</v>
      </c>
      <c r="C70" s="4">
        <f>-IPMT('With Loan'!$D$41/12,'30% Down Amortization'!$A70,360,'With Loan'!$D$40,0,0)</f>
        <v>591.16393834581777</v>
      </c>
      <c r="D70" s="4">
        <f t="shared" si="3"/>
        <v>1077.7884491827506</v>
      </c>
      <c r="E70" s="3">
        <f t="shared" si="2"/>
        <v>217789.29118608026</v>
      </c>
    </row>
    <row r="71" spans="1:5" x14ac:dyDescent="0.25">
      <c r="A71">
        <v>68</v>
      </c>
      <c r="B71" s="4">
        <f>-PPMT('With Loan'!$D$41/12,'30% Down Amortization'!$A71,360,'With Loan'!$D$40,0,0)</f>
        <v>487.94245222044941</v>
      </c>
      <c r="C71" s="4">
        <f>-IPMT('With Loan'!$D$41/12,'30% Down Amortization'!$A71,360,'With Loan'!$D$40,0,0)</f>
        <v>589.84599696230123</v>
      </c>
      <c r="D71" s="4">
        <f t="shared" si="3"/>
        <v>1077.7884491827506</v>
      </c>
      <c r="E71" s="3">
        <f t="shared" si="2"/>
        <v>217301.34873385981</v>
      </c>
    </row>
    <row r="72" spans="1:5" x14ac:dyDescent="0.25">
      <c r="A72">
        <v>69</v>
      </c>
      <c r="B72" s="4">
        <f>-PPMT('With Loan'!$D$41/12,'30% Down Amortization'!$A72,360,'With Loan'!$D$40,0,0)</f>
        <v>489.26396302854653</v>
      </c>
      <c r="C72" s="4">
        <f>-IPMT('With Loan'!$D$41/12,'30% Down Amortization'!$A72,360,'With Loan'!$D$40,0,0)</f>
        <v>588.52448615420394</v>
      </c>
      <c r="D72" s="4">
        <f t="shared" si="3"/>
        <v>1077.7884491827504</v>
      </c>
      <c r="E72" s="3">
        <f t="shared" si="2"/>
        <v>216812.08477083125</v>
      </c>
    </row>
    <row r="73" spans="1:5" x14ac:dyDescent="0.25">
      <c r="A73">
        <v>70</v>
      </c>
      <c r="B73" s="4">
        <f>-PPMT('With Loan'!$D$41/12,'30% Down Amortization'!$A73,360,'With Loan'!$D$40,0,0)</f>
        <v>490.58905292841547</v>
      </c>
      <c r="C73" s="4">
        <f>-IPMT('With Loan'!$D$41/12,'30% Down Amortization'!$A73,360,'With Loan'!$D$40,0,0)</f>
        <v>587.19939625433517</v>
      </c>
      <c r="D73" s="4">
        <f t="shared" si="3"/>
        <v>1077.7884491827506</v>
      </c>
      <c r="E73" s="3">
        <f t="shared" si="2"/>
        <v>216321.49571790284</v>
      </c>
    </row>
    <row r="74" spans="1:5" x14ac:dyDescent="0.25">
      <c r="A74">
        <v>71</v>
      </c>
      <c r="B74" s="4">
        <f>-PPMT('With Loan'!$D$41/12,'30% Down Amortization'!$A74,360,'With Loan'!$D$40,0,0)</f>
        <v>491.91773161343002</v>
      </c>
      <c r="C74" s="4">
        <f>-IPMT('With Loan'!$D$41/12,'30% Down Amortization'!$A74,360,'With Loan'!$D$40,0,0)</f>
        <v>585.87071756932073</v>
      </c>
      <c r="D74" s="4">
        <f t="shared" si="3"/>
        <v>1077.7884491827508</v>
      </c>
      <c r="E74" s="3">
        <f t="shared" si="2"/>
        <v>215829.57798628943</v>
      </c>
    </row>
    <row r="75" spans="1:5" x14ac:dyDescent="0.25">
      <c r="A75">
        <v>72</v>
      </c>
      <c r="B75" s="4">
        <f>-PPMT('With Loan'!$D$41/12,'30% Down Amortization'!$A75,360,'With Loan'!$D$40,0,0)</f>
        <v>493.2500088032163</v>
      </c>
      <c r="C75" s="4">
        <f>-IPMT('With Loan'!$D$41/12,'30% Down Amortization'!$A75,360,'With Loan'!$D$40,0,0)</f>
        <v>584.53844037953422</v>
      </c>
      <c r="D75" s="4">
        <f t="shared" si="3"/>
        <v>1077.7884491827506</v>
      </c>
      <c r="E75" s="3">
        <f t="shared" si="2"/>
        <v>215336.32797748622</v>
      </c>
    </row>
    <row r="76" spans="1:5" x14ac:dyDescent="0.25">
      <c r="A76">
        <v>73</v>
      </c>
      <c r="B76" s="4">
        <f>-PPMT('With Loan'!$D$41/12,'30% Down Amortization'!$A76,360,'With Loan'!$D$40,0,0)</f>
        <v>494.58589424372502</v>
      </c>
      <c r="C76" s="4">
        <f>-IPMT('With Loan'!$D$41/12,'30% Down Amortization'!$A76,360,'With Loan'!$D$40,0,0)</f>
        <v>583.20255493902562</v>
      </c>
      <c r="D76" s="4">
        <f t="shared" si="3"/>
        <v>1077.7884491827506</v>
      </c>
      <c r="E76" s="3">
        <f t="shared" si="2"/>
        <v>214841.74208324248</v>
      </c>
    </row>
    <row r="77" spans="1:5" x14ac:dyDescent="0.25">
      <c r="A77">
        <v>74</v>
      </c>
      <c r="B77" s="4">
        <f>-PPMT('With Loan'!$D$41/12,'30% Down Amortization'!$A77,360,'With Loan'!$D$40,0,0)</f>
        <v>495.92539770730173</v>
      </c>
      <c r="C77" s="4">
        <f>-IPMT('With Loan'!$D$41/12,'30% Down Amortization'!$A77,360,'With Loan'!$D$40,0,0)</f>
        <v>581.86305147544874</v>
      </c>
      <c r="D77" s="4">
        <f t="shared" si="3"/>
        <v>1077.7884491827504</v>
      </c>
      <c r="E77" s="3">
        <f t="shared" si="2"/>
        <v>214345.81668553519</v>
      </c>
    </row>
    <row r="78" spans="1:5" x14ac:dyDescent="0.25">
      <c r="A78">
        <v>75</v>
      </c>
      <c r="B78" s="4">
        <f>-PPMT('With Loan'!$D$41/12,'30% Down Amortization'!$A78,360,'With Loan'!$D$40,0,0)</f>
        <v>497.26852899275906</v>
      </c>
      <c r="C78" s="4">
        <f>-IPMT('With Loan'!$D$41/12,'30% Down Amortization'!$A78,360,'With Loan'!$D$40,0,0)</f>
        <v>580.51992018999135</v>
      </c>
      <c r="D78" s="4">
        <f t="shared" si="3"/>
        <v>1077.7884491827504</v>
      </c>
      <c r="E78" s="3">
        <f t="shared" si="2"/>
        <v>213848.54815654244</v>
      </c>
    </row>
    <row r="79" spans="1:5" x14ac:dyDescent="0.25">
      <c r="A79">
        <v>76</v>
      </c>
      <c r="B79" s="4">
        <f>-PPMT('With Loan'!$D$41/12,'30% Down Amortization'!$A79,360,'With Loan'!$D$40,0,0)</f>
        <v>498.61529792544775</v>
      </c>
      <c r="C79" s="4">
        <f>-IPMT('With Loan'!$D$41/12,'30% Down Amortization'!$A79,360,'With Loan'!$D$40,0,0)</f>
        <v>579.17315125730283</v>
      </c>
      <c r="D79" s="4">
        <f t="shared" si="3"/>
        <v>1077.7884491827506</v>
      </c>
      <c r="E79" s="3">
        <f t="shared" si="2"/>
        <v>213349.93285861699</v>
      </c>
    </row>
    <row r="80" spans="1:5" x14ac:dyDescent="0.25">
      <c r="A80">
        <v>77</v>
      </c>
      <c r="B80" s="4">
        <f>-PPMT('With Loan'!$D$41/12,'30% Down Amortization'!$A80,360,'With Loan'!$D$40,0,0)</f>
        <v>499.9657143573292</v>
      </c>
      <c r="C80" s="4">
        <f>-IPMT('With Loan'!$D$41/12,'30% Down Amortization'!$A80,360,'With Loan'!$D$40,0,0)</f>
        <v>577.82273482542121</v>
      </c>
      <c r="D80" s="4">
        <f t="shared" si="3"/>
        <v>1077.7884491827504</v>
      </c>
      <c r="E80" s="3">
        <f t="shared" si="2"/>
        <v>212849.96714425966</v>
      </c>
    </row>
    <row r="81" spans="1:5" x14ac:dyDescent="0.25">
      <c r="A81">
        <v>78</v>
      </c>
      <c r="B81" s="4">
        <f>-PPMT('With Loan'!$D$41/12,'30% Down Amortization'!$A81,360,'With Loan'!$D$40,0,0)</f>
        <v>501.31978816704697</v>
      </c>
      <c r="C81" s="4">
        <f>-IPMT('With Loan'!$D$41/12,'30% Down Amortization'!$A81,360,'With Loan'!$D$40,0,0)</f>
        <v>576.46866101570356</v>
      </c>
      <c r="D81" s="4">
        <f t="shared" si="3"/>
        <v>1077.7884491827506</v>
      </c>
      <c r="E81" s="3">
        <f t="shared" si="2"/>
        <v>212348.64735609261</v>
      </c>
    </row>
    <row r="82" spans="1:5" x14ac:dyDescent="0.25">
      <c r="A82">
        <v>79</v>
      </c>
      <c r="B82" s="4">
        <f>-PPMT('With Loan'!$D$41/12,'30% Down Amortization'!$A82,360,'With Loan'!$D$40,0,0)</f>
        <v>502.67752925999946</v>
      </c>
      <c r="C82" s="4">
        <f>-IPMT('With Loan'!$D$41/12,'30% Down Amortization'!$A82,360,'With Loan'!$D$40,0,0)</f>
        <v>575.11091992275112</v>
      </c>
      <c r="D82" s="4">
        <f t="shared" si="3"/>
        <v>1077.7884491827506</v>
      </c>
      <c r="E82" s="3">
        <f t="shared" si="2"/>
        <v>211845.96982683262</v>
      </c>
    </row>
    <row r="83" spans="1:5" x14ac:dyDescent="0.25">
      <c r="A83">
        <v>80</v>
      </c>
      <c r="B83" s="4">
        <f>-PPMT('With Loan'!$D$41/12,'30% Down Amortization'!$A83,360,'With Loan'!$D$40,0,0)</f>
        <v>504.03894756841186</v>
      </c>
      <c r="C83" s="4">
        <f>-IPMT('With Loan'!$D$41/12,'30% Down Amortization'!$A83,360,'With Loan'!$D$40,0,0)</f>
        <v>573.74950161433856</v>
      </c>
      <c r="D83" s="4">
        <f t="shared" si="3"/>
        <v>1077.7884491827504</v>
      </c>
      <c r="E83" s="3">
        <f t="shared" si="2"/>
        <v>211341.9308792642</v>
      </c>
    </row>
    <row r="84" spans="1:5" x14ac:dyDescent="0.25">
      <c r="A84">
        <v>81</v>
      </c>
      <c r="B84" s="4">
        <f>-PPMT('With Loan'!$D$41/12,'30% Down Amortization'!$A84,360,'With Loan'!$D$40,0,0)</f>
        <v>505.40405305140968</v>
      </c>
      <c r="C84" s="4">
        <f>-IPMT('With Loan'!$D$41/12,'30% Down Amortization'!$A84,360,'With Loan'!$D$40,0,0)</f>
        <v>572.38439613134085</v>
      </c>
      <c r="D84" s="4">
        <f t="shared" si="3"/>
        <v>1077.7884491827506</v>
      </c>
      <c r="E84" s="3">
        <f t="shared" si="2"/>
        <v>210836.52682621279</v>
      </c>
    </row>
    <row r="85" spans="1:5" x14ac:dyDescent="0.25">
      <c r="A85">
        <v>82</v>
      </c>
      <c r="B85" s="4">
        <f>-PPMT('With Loan'!$D$41/12,'30% Down Amortization'!$A85,360,'With Loan'!$D$40,0,0)</f>
        <v>506.77285569509053</v>
      </c>
      <c r="C85" s="4">
        <f>-IPMT('With Loan'!$D$41/12,'30% Down Amortization'!$A85,360,'With Loan'!$D$40,0,0)</f>
        <v>571.01559348766</v>
      </c>
      <c r="D85" s="4">
        <f t="shared" si="3"/>
        <v>1077.7884491827506</v>
      </c>
      <c r="E85" s="3">
        <f t="shared" si="2"/>
        <v>210329.75397051769</v>
      </c>
    </row>
    <row r="86" spans="1:5" x14ac:dyDescent="0.25">
      <c r="A86">
        <v>83</v>
      </c>
      <c r="B86" s="4">
        <f>-PPMT('With Loan'!$D$41/12,'30% Down Amortization'!$A86,360,'With Loan'!$D$40,0,0)</f>
        <v>508.14536551259812</v>
      </c>
      <c r="C86" s="4">
        <f>-IPMT('With Loan'!$D$41/12,'30% Down Amortization'!$A86,360,'With Loan'!$D$40,0,0)</f>
        <v>569.64308367015246</v>
      </c>
      <c r="D86" s="4">
        <f t="shared" si="3"/>
        <v>1077.7884491827506</v>
      </c>
      <c r="E86" s="3">
        <f t="shared" si="2"/>
        <v>209821.60860500508</v>
      </c>
    </row>
    <row r="87" spans="1:5" x14ac:dyDescent="0.25">
      <c r="A87">
        <v>84</v>
      </c>
      <c r="B87" s="4">
        <f>-PPMT('With Loan'!$D$41/12,'30% Down Amortization'!$A87,360,'With Loan'!$D$40,0,0)</f>
        <v>509.52159254419479</v>
      </c>
      <c r="C87" s="4">
        <f>-IPMT('With Loan'!$D$41/12,'30% Down Amortization'!$A87,360,'With Loan'!$D$40,0,0)</f>
        <v>568.26685663855574</v>
      </c>
      <c r="D87" s="4">
        <f t="shared" si="3"/>
        <v>1077.7884491827506</v>
      </c>
      <c r="E87" s="3">
        <f t="shared" si="2"/>
        <v>209312.08701246089</v>
      </c>
    </row>
    <row r="88" spans="1:5" x14ac:dyDescent="0.25">
      <c r="A88">
        <v>85</v>
      </c>
      <c r="B88" s="4">
        <f>-PPMT('With Loan'!$D$41/12,'30% Down Amortization'!$A88,360,'With Loan'!$D$40,0,0)</f>
        <v>510.90154685733529</v>
      </c>
      <c r="C88" s="4">
        <f>-IPMT('With Loan'!$D$41/12,'30% Down Amortization'!$A88,360,'With Loan'!$D$40,0,0)</f>
        <v>566.88690232541524</v>
      </c>
      <c r="D88" s="4">
        <f t="shared" si="3"/>
        <v>1077.7884491827506</v>
      </c>
      <c r="E88" s="3">
        <f t="shared" si="2"/>
        <v>208801.18546560354</v>
      </c>
    </row>
    <row r="89" spans="1:5" x14ac:dyDescent="0.25">
      <c r="A89">
        <v>86</v>
      </c>
      <c r="B89" s="4">
        <f>-PPMT('With Loan'!$D$41/12,'30% Down Amortization'!$A89,360,'With Loan'!$D$40,0,0)</f>
        <v>512.28523854674052</v>
      </c>
      <c r="C89" s="4">
        <f>-IPMT('With Loan'!$D$41/12,'30% Down Amortization'!$A89,360,'With Loan'!$D$40,0,0)</f>
        <v>565.50321063600995</v>
      </c>
      <c r="D89" s="4">
        <f t="shared" si="3"/>
        <v>1077.7884491827504</v>
      </c>
      <c r="E89" s="3">
        <f t="shared" si="2"/>
        <v>208288.90022705682</v>
      </c>
    </row>
    <row r="90" spans="1:5" x14ac:dyDescent="0.25">
      <c r="A90">
        <v>87</v>
      </c>
      <c r="B90" s="4">
        <f>-PPMT('With Loan'!$D$41/12,'30% Down Amortization'!$A90,360,'With Loan'!$D$40,0,0)</f>
        <v>513.67267773447134</v>
      </c>
      <c r="C90" s="4">
        <f>-IPMT('With Loan'!$D$41/12,'30% Down Amortization'!$A90,360,'With Loan'!$D$40,0,0)</f>
        <v>564.11577144827936</v>
      </c>
      <c r="D90" s="4">
        <f t="shared" si="3"/>
        <v>1077.7884491827508</v>
      </c>
      <c r="E90" s="3">
        <f t="shared" si="2"/>
        <v>207775.22754932236</v>
      </c>
    </row>
    <row r="91" spans="1:5" x14ac:dyDescent="0.25">
      <c r="A91">
        <v>88</v>
      </c>
      <c r="B91" s="4">
        <f>-PPMT('With Loan'!$D$41/12,'30% Down Amortization'!$A91,360,'With Loan'!$D$40,0,0)</f>
        <v>515.0638745700021</v>
      </c>
      <c r="C91" s="4">
        <f>-IPMT('With Loan'!$D$41/12,'30% Down Amortization'!$A91,360,'With Loan'!$D$40,0,0)</f>
        <v>562.72457461274837</v>
      </c>
      <c r="D91" s="4">
        <f t="shared" si="3"/>
        <v>1077.7884491827504</v>
      </c>
      <c r="E91" s="3">
        <f t="shared" si="2"/>
        <v>207260.16367475234</v>
      </c>
    </row>
    <row r="92" spans="1:5" x14ac:dyDescent="0.25">
      <c r="A92">
        <v>89</v>
      </c>
      <c r="B92" s="4">
        <f>-PPMT('With Loan'!$D$41/12,'30% Down Amortization'!$A92,360,'With Loan'!$D$40,0,0)</f>
        <v>516.45883923029589</v>
      </c>
      <c r="C92" s="4">
        <f>-IPMT('With Loan'!$D$41/12,'30% Down Amortization'!$A92,360,'With Loan'!$D$40,0,0)</f>
        <v>561.32960995245458</v>
      </c>
      <c r="D92" s="4">
        <f t="shared" si="3"/>
        <v>1077.7884491827504</v>
      </c>
      <c r="E92" s="3">
        <f t="shared" si="2"/>
        <v>206743.70483552205</v>
      </c>
    </row>
    <row r="93" spans="1:5" x14ac:dyDescent="0.25">
      <c r="A93">
        <v>90</v>
      </c>
      <c r="B93" s="4">
        <f>-PPMT('With Loan'!$D$41/12,'30% Down Amortization'!$A93,360,'With Loan'!$D$40,0,0)</f>
        <v>517.85758191987804</v>
      </c>
      <c r="C93" s="4">
        <f>-IPMT('With Loan'!$D$41/12,'30% Down Amortization'!$A93,360,'With Loan'!$D$40,0,0)</f>
        <v>559.93086726287254</v>
      </c>
      <c r="D93" s="4">
        <f t="shared" si="3"/>
        <v>1077.7884491827506</v>
      </c>
      <c r="E93" s="3">
        <f t="shared" si="2"/>
        <v>206225.84725360217</v>
      </c>
    </row>
    <row r="94" spans="1:5" x14ac:dyDescent="0.25">
      <c r="A94">
        <v>91</v>
      </c>
      <c r="B94" s="4">
        <f>-PPMT('With Loan'!$D$41/12,'30% Down Amortization'!$A94,360,'With Loan'!$D$40,0,0)</f>
        <v>519.26011287091103</v>
      </c>
      <c r="C94" s="4">
        <f>-IPMT('With Loan'!$D$41/12,'30% Down Amortization'!$A94,360,'With Loan'!$D$40,0,0)</f>
        <v>558.52833631183967</v>
      </c>
      <c r="D94" s="4">
        <f t="shared" si="3"/>
        <v>1077.7884491827508</v>
      </c>
      <c r="E94" s="3">
        <f t="shared" si="2"/>
        <v>205706.58714073125</v>
      </c>
    </row>
    <row r="95" spans="1:5" x14ac:dyDescent="0.25">
      <c r="A95">
        <v>92</v>
      </c>
      <c r="B95" s="4">
        <f>-PPMT('With Loan'!$D$41/12,'30% Down Amortization'!$A95,360,'With Loan'!$D$40,0,0)</f>
        <v>520.66644234326975</v>
      </c>
      <c r="C95" s="4">
        <f>-IPMT('With Loan'!$D$41/12,'30% Down Amortization'!$A95,360,'With Loan'!$D$40,0,0)</f>
        <v>557.12200683948083</v>
      </c>
      <c r="D95" s="4">
        <f t="shared" si="3"/>
        <v>1077.7884491827506</v>
      </c>
      <c r="E95" s="3">
        <f t="shared" si="2"/>
        <v>205185.92069838798</v>
      </c>
    </row>
    <row r="96" spans="1:5" x14ac:dyDescent="0.25">
      <c r="A96">
        <v>93</v>
      </c>
      <c r="B96" s="4">
        <f>-PPMT('With Loan'!$D$41/12,'30% Down Amortization'!$A96,360,'With Loan'!$D$40,0,0)</f>
        <v>522.0765806246161</v>
      </c>
      <c r="C96" s="4">
        <f>-IPMT('With Loan'!$D$41/12,'30% Down Amortization'!$A96,360,'With Loan'!$D$40,0,0)</f>
        <v>555.71186855813448</v>
      </c>
      <c r="D96" s="4">
        <f t="shared" si="3"/>
        <v>1077.7884491827506</v>
      </c>
      <c r="E96" s="3">
        <f t="shared" si="2"/>
        <v>204663.84411776336</v>
      </c>
    </row>
    <row r="97" spans="1:5" x14ac:dyDescent="0.25">
      <c r="A97">
        <v>94</v>
      </c>
      <c r="B97" s="4">
        <f>-PPMT('With Loan'!$D$41/12,'30% Down Amortization'!$A97,360,'With Loan'!$D$40,0,0)</f>
        <v>523.49053803047445</v>
      </c>
      <c r="C97" s="4">
        <f>-IPMT('With Loan'!$D$41/12,'30% Down Amortization'!$A97,360,'With Loan'!$D$40,0,0)</f>
        <v>554.29791115227613</v>
      </c>
      <c r="D97" s="4">
        <f t="shared" si="3"/>
        <v>1077.7884491827506</v>
      </c>
      <c r="E97" s="3">
        <f t="shared" si="2"/>
        <v>204140.35357973288</v>
      </c>
    </row>
    <row r="98" spans="1:5" x14ac:dyDescent="0.25">
      <c r="A98">
        <v>95</v>
      </c>
      <c r="B98" s="4">
        <f>-PPMT('With Loan'!$D$41/12,'30% Down Amortization'!$A98,360,'With Loan'!$D$40,0,0)</f>
        <v>524.90832490430694</v>
      </c>
      <c r="C98" s="4">
        <f>-IPMT('With Loan'!$D$41/12,'30% Down Amortization'!$A98,360,'With Loan'!$D$40,0,0)</f>
        <v>552.88012427844365</v>
      </c>
      <c r="D98" s="4">
        <f t="shared" si="3"/>
        <v>1077.7884491827506</v>
      </c>
      <c r="E98" s="3">
        <f t="shared" ref="E98:E161" si="4">E97-B98</f>
        <v>203615.44525482858</v>
      </c>
    </row>
    <row r="99" spans="1:5" x14ac:dyDescent="0.25">
      <c r="A99">
        <v>96</v>
      </c>
      <c r="B99" s="4">
        <f>-PPMT('With Loan'!$D$41/12,'30% Down Amortization'!$A99,360,'With Loan'!$D$40,0,0)</f>
        <v>526.32995161758936</v>
      </c>
      <c r="C99" s="4">
        <f>-IPMT('With Loan'!$D$41/12,'30% Down Amortization'!$A99,360,'With Loan'!$D$40,0,0)</f>
        <v>551.45849756516111</v>
      </c>
      <c r="D99" s="4">
        <f t="shared" si="3"/>
        <v>1077.7884491827504</v>
      </c>
      <c r="E99" s="3">
        <f t="shared" si="4"/>
        <v>203089.115303211</v>
      </c>
    </row>
    <row r="100" spans="1:5" x14ac:dyDescent="0.25">
      <c r="A100">
        <v>97</v>
      </c>
      <c r="B100" s="4">
        <f>-PPMT('With Loan'!$D$41/12,'30% Down Amortization'!$A100,360,'With Loan'!$D$40,0,0)</f>
        <v>527.75542856988704</v>
      </c>
      <c r="C100" s="4">
        <f>-IPMT('With Loan'!$D$41/12,'30% Down Amortization'!$A100,360,'With Loan'!$D$40,0,0)</f>
        <v>550.03302061286342</v>
      </c>
      <c r="D100" s="4">
        <f t="shared" si="3"/>
        <v>1077.7884491827504</v>
      </c>
      <c r="E100" s="3">
        <f t="shared" si="4"/>
        <v>202561.35987464112</v>
      </c>
    </row>
    <row r="101" spans="1:5" x14ac:dyDescent="0.25">
      <c r="A101">
        <v>98</v>
      </c>
      <c r="B101" s="4">
        <f>-PPMT('With Loan'!$D$41/12,'30% Down Amortization'!$A101,360,'With Loan'!$D$40,0,0)</f>
        <v>529.18476618893055</v>
      </c>
      <c r="C101" s="4">
        <f>-IPMT('With Loan'!$D$41/12,'30% Down Amortization'!$A101,360,'With Loan'!$D$40,0,0)</f>
        <v>548.60368299382003</v>
      </c>
      <c r="D101" s="4">
        <f t="shared" si="3"/>
        <v>1077.7884491827506</v>
      </c>
      <c r="E101" s="3">
        <f t="shared" si="4"/>
        <v>202032.17510845218</v>
      </c>
    </row>
    <row r="102" spans="1:5" x14ac:dyDescent="0.25">
      <c r="A102">
        <v>99</v>
      </c>
      <c r="B102" s="4">
        <f>-PPMT('With Loan'!$D$41/12,'30% Down Amortization'!$A102,360,'With Loan'!$D$40,0,0)</f>
        <v>530.61797493069207</v>
      </c>
      <c r="C102" s="4">
        <f>-IPMT('With Loan'!$D$41/12,'30% Down Amortization'!$A102,360,'With Loan'!$D$40,0,0)</f>
        <v>547.17047425205828</v>
      </c>
      <c r="D102" s="4">
        <f t="shared" si="3"/>
        <v>1077.7884491827504</v>
      </c>
      <c r="E102" s="3">
        <f t="shared" si="4"/>
        <v>201501.55713352148</v>
      </c>
    </row>
    <row r="103" spans="1:5" x14ac:dyDescent="0.25">
      <c r="A103">
        <v>100</v>
      </c>
      <c r="B103" s="4">
        <f>-PPMT('With Loan'!$D$41/12,'30% Down Amortization'!$A103,360,'With Loan'!$D$40,0,0)</f>
        <v>532.05506527946284</v>
      </c>
      <c r="C103" s="4">
        <f>-IPMT('With Loan'!$D$41/12,'30% Down Amortization'!$A103,360,'With Loan'!$D$40,0,0)</f>
        <v>545.73338390328763</v>
      </c>
      <c r="D103" s="4">
        <f t="shared" si="3"/>
        <v>1077.7884491827504</v>
      </c>
      <c r="E103" s="3">
        <f t="shared" si="4"/>
        <v>200969.502068242</v>
      </c>
    </row>
    <row r="104" spans="1:5" x14ac:dyDescent="0.25">
      <c r="A104">
        <v>101</v>
      </c>
      <c r="B104" s="4">
        <f>-PPMT('With Loan'!$D$41/12,'30% Down Amortization'!$A104,360,'With Loan'!$D$40,0,0)</f>
        <v>533.49604774792795</v>
      </c>
      <c r="C104" s="4">
        <f>-IPMT('With Loan'!$D$41/12,'30% Down Amortization'!$A104,360,'With Loan'!$D$40,0,0)</f>
        <v>544.29240143482252</v>
      </c>
      <c r="D104" s="4">
        <f t="shared" si="3"/>
        <v>1077.7884491827504</v>
      </c>
      <c r="E104" s="3">
        <f t="shared" si="4"/>
        <v>200436.00602049407</v>
      </c>
    </row>
    <row r="105" spans="1:5" x14ac:dyDescent="0.25">
      <c r="A105">
        <v>102</v>
      </c>
      <c r="B105" s="4">
        <f>-PPMT('With Loan'!$D$41/12,'30% Down Amortization'!$A105,360,'With Loan'!$D$40,0,0)</f>
        <v>534.94093287724536</v>
      </c>
      <c r="C105" s="4">
        <f>-IPMT('With Loan'!$D$41/12,'30% Down Amortization'!$A105,360,'With Loan'!$D$40,0,0)</f>
        <v>542.84751630550522</v>
      </c>
      <c r="D105" s="4">
        <f t="shared" si="3"/>
        <v>1077.7884491827506</v>
      </c>
      <c r="E105" s="3">
        <f t="shared" si="4"/>
        <v>199901.06508761682</v>
      </c>
    </row>
    <row r="106" spans="1:5" x14ac:dyDescent="0.25">
      <c r="A106">
        <v>103</v>
      </c>
      <c r="B106" s="4">
        <f>-PPMT('With Loan'!$D$41/12,'30% Down Amortization'!$A106,360,'With Loan'!$D$40,0,0)</f>
        <v>536.38973123712128</v>
      </c>
      <c r="C106" s="4">
        <f>-IPMT('With Loan'!$D$41/12,'30% Down Amortization'!$A106,360,'With Loan'!$D$40,0,0)</f>
        <v>541.3987179456293</v>
      </c>
      <c r="D106" s="4">
        <f t="shared" si="3"/>
        <v>1077.7884491827506</v>
      </c>
      <c r="E106" s="3">
        <f t="shared" si="4"/>
        <v>199364.67535637971</v>
      </c>
    </row>
    <row r="107" spans="1:5" x14ac:dyDescent="0.25">
      <c r="A107">
        <v>104</v>
      </c>
      <c r="B107" s="4">
        <f>-PPMT('With Loan'!$D$41/12,'30% Down Amortization'!$A107,360,'With Loan'!$D$40,0,0)</f>
        <v>537.84245342588838</v>
      </c>
      <c r="C107" s="4">
        <f>-IPMT('With Loan'!$D$41/12,'30% Down Amortization'!$A107,360,'With Loan'!$D$40,0,0)</f>
        <v>539.94599575686209</v>
      </c>
      <c r="D107" s="4">
        <f t="shared" si="3"/>
        <v>1077.7884491827504</v>
      </c>
      <c r="E107" s="3">
        <f t="shared" si="4"/>
        <v>198826.83290295381</v>
      </c>
    </row>
    <row r="108" spans="1:5" x14ac:dyDescent="0.25">
      <c r="A108">
        <v>105</v>
      </c>
      <c r="B108" s="4">
        <f>-PPMT('With Loan'!$D$41/12,'30% Down Amortization'!$A108,360,'With Loan'!$D$40,0,0)</f>
        <v>539.29911007058354</v>
      </c>
      <c r="C108" s="4">
        <f>-IPMT('With Loan'!$D$41/12,'30% Down Amortization'!$A108,360,'With Loan'!$D$40,0,0)</f>
        <v>538.48933911216704</v>
      </c>
      <c r="D108" s="4">
        <f t="shared" si="3"/>
        <v>1077.7884491827506</v>
      </c>
      <c r="E108" s="3">
        <f t="shared" si="4"/>
        <v>198287.53379288325</v>
      </c>
    </row>
    <row r="109" spans="1:5" x14ac:dyDescent="0.25">
      <c r="A109">
        <v>106</v>
      </c>
      <c r="B109" s="4">
        <f>-PPMT('With Loan'!$D$41/12,'30% Down Amortization'!$A109,360,'With Loan'!$D$40,0,0)</f>
        <v>540.75971182702472</v>
      </c>
      <c r="C109" s="4">
        <f>-IPMT('With Loan'!$D$41/12,'30% Down Amortization'!$A109,360,'With Loan'!$D$40,0,0)</f>
        <v>537.02873735572598</v>
      </c>
      <c r="D109" s="4">
        <f t="shared" si="3"/>
        <v>1077.7884491827508</v>
      </c>
      <c r="E109" s="3">
        <f t="shared" si="4"/>
        <v>197746.77408105621</v>
      </c>
    </row>
    <row r="110" spans="1:5" x14ac:dyDescent="0.25">
      <c r="A110">
        <v>107</v>
      </c>
      <c r="B110" s="4">
        <f>-PPMT('With Loan'!$D$41/12,'30% Down Amortization'!$A110,360,'With Loan'!$D$40,0,0)</f>
        <v>542.22426937988951</v>
      </c>
      <c r="C110" s="4">
        <f>-IPMT('With Loan'!$D$41/12,'30% Down Amortization'!$A110,360,'With Loan'!$D$40,0,0)</f>
        <v>535.56417980286096</v>
      </c>
      <c r="D110" s="4">
        <f t="shared" si="3"/>
        <v>1077.7884491827504</v>
      </c>
      <c r="E110" s="3">
        <f t="shared" si="4"/>
        <v>197204.54981167632</v>
      </c>
    </row>
    <row r="111" spans="1:5" x14ac:dyDescent="0.25">
      <c r="A111">
        <v>108</v>
      </c>
      <c r="B111" s="4">
        <f>-PPMT('With Loan'!$D$41/12,'30% Down Amortization'!$A111,360,'With Loan'!$D$40,0,0)</f>
        <v>543.69279344279346</v>
      </c>
      <c r="C111" s="4">
        <f>-IPMT('With Loan'!$D$41/12,'30% Down Amortization'!$A111,360,'With Loan'!$D$40,0,0)</f>
        <v>534.09565573995724</v>
      </c>
      <c r="D111" s="4">
        <f t="shared" si="3"/>
        <v>1077.7884491827508</v>
      </c>
      <c r="E111" s="3">
        <f t="shared" si="4"/>
        <v>196660.85701823354</v>
      </c>
    </row>
    <row r="112" spans="1:5" x14ac:dyDescent="0.25">
      <c r="A112">
        <v>109</v>
      </c>
      <c r="B112" s="4">
        <f>-PPMT('With Loan'!$D$41/12,'30% Down Amortization'!$A112,360,'With Loan'!$D$40,0,0)</f>
        <v>545.16529475836774</v>
      </c>
      <c r="C112" s="4">
        <f>-IPMT('With Loan'!$D$41/12,'30% Down Amortization'!$A112,360,'With Loan'!$D$40,0,0)</f>
        <v>532.62315442438296</v>
      </c>
      <c r="D112" s="4">
        <f t="shared" si="3"/>
        <v>1077.7884491827508</v>
      </c>
      <c r="E112" s="3">
        <f t="shared" si="4"/>
        <v>196115.69172347517</v>
      </c>
    </row>
    <row r="113" spans="1:5" x14ac:dyDescent="0.25">
      <c r="A113">
        <v>110</v>
      </c>
      <c r="B113" s="4">
        <f>-PPMT('With Loan'!$D$41/12,'30% Down Amortization'!$A113,360,'With Loan'!$D$40,0,0)</f>
        <v>546.64178409833823</v>
      </c>
      <c r="C113" s="4">
        <f>-IPMT('With Loan'!$D$41/12,'30% Down Amortization'!$A113,360,'With Loan'!$D$40,0,0)</f>
        <v>531.14666508441235</v>
      </c>
      <c r="D113" s="4">
        <f t="shared" si="3"/>
        <v>1077.7884491827506</v>
      </c>
      <c r="E113" s="3">
        <f t="shared" si="4"/>
        <v>195569.04993937683</v>
      </c>
    </row>
    <row r="114" spans="1:5" x14ac:dyDescent="0.25">
      <c r="A114">
        <v>111</v>
      </c>
      <c r="B114" s="4">
        <f>-PPMT('With Loan'!$D$41/12,'30% Down Amortization'!$A114,360,'With Loan'!$D$40,0,0)</f>
        <v>548.1222722636046</v>
      </c>
      <c r="C114" s="4">
        <f>-IPMT('With Loan'!$D$41/12,'30% Down Amortization'!$A114,360,'With Loan'!$D$40,0,0)</f>
        <v>529.66617691914587</v>
      </c>
      <c r="D114" s="4">
        <f t="shared" si="3"/>
        <v>1077.7884491827504</v>
      </c>
      <c r="E114" s="3">
        <f t="shared" si="4"/>
        <v>195020.92766711322</v>
      </c>
    </row>
    <row r="115" spans="1:5" x14ac:dyDescent="0.25">
      <c r="A115">
        <v>112</v>
      </c>
      <c r="B115" s="4">
        <f>-PPMT('With Loan'!$D$41/12,'30% Down Amortization'!$A115,360,'With Loan'!$D$40,0,0)</f>
        <v>549.60677008431844</v>
      </c>
      <c r="C115" s="4">
        <f>-IPMT('With Loan'!$D$41/12,'30% Down Amortization'!$A115,360,'With Loan'!$D$40,0,0)</f>
        <v>528.18167909843203</v>
      </c>
      <c r="D115" s="4">
        <f t="shared" si="3"/>
        <v>1077.7884491827504</v>
      </c>
      <c r="E115" s="3">
        <f t="shared" si="4"/>
        <v>194471.3208970289</v>
      </c>
    </row>
    <row r="116" spans="1:5" x14ac:dyDescent="0.25">
      <c r="A116">
        <v>113</v>
      </c>
      <c r="B116" s="4">
        <f>-PPMT('With Loan'!$D$41/12,'30% Down Amortization'!$A116,360,'With Loan'!$D$40,0,0)</f>
        <v>551.09528841996348</v>
      </c>
      <c r="C116" s="4">
        <f>-IPMT('With Loan'!$D$41/12,'30% Down Amortization'!$A116,360,'With Loan'!$D$40,0,0)</f>
        <v>526.69316076278699</v>
      </c>
      <c r="D116" s="4">
        <f t="shared" si="3"/>
        <v>1077.7884491827504</v>
      </c>
      <c r="E116" s="3">
        <f t="shared" si="4"/>
        <v>193920.22560860895</v>
      </c>
    </row>
    <row r="117" spans="1:5" x14ac:dyDescent="0.25">
      <c r="A117">
        <v>114</v>
      </c>
      <c r="B117" s="4">
        <f>-PPMT('With Loan'!$D$41/12,'30% Down Amortization'!$A117,360,'With Loan'!$D$40,0,0)</f>
        <v>552.58783815943423</v>
      </c>
      <c r="C117" s="4">
        <f>-IPMT('With Loan'!$D$41/12,'30% Down Amortization'!$A117,360,'With Loan'!$D$40,0,0)</f>
        <v>525.20061102331636</v>
      </c>
      <c r="D117" s="4">
        <f t="shared" si="3"/>
        <v>1077.7884491827506</v>
      </c>
      <c r="E117" s="3">
        <f t="shared" si="4"/>
        <v>193367.63777044951</v>
      </c>
    </row>
    <row r="118" spans="1:5" x14ac:dyDescent="0.25">
      <c r="A118">
        <v>115</v>
      </c>
      <c r="B118" s="4">
        <f>-PPMT('With Loan'!$D$41/12,'30% Down Amortization'!$A118,360,'With Loan'!$D$40,0,0)</f>
        <v>554.08443022111612</v>
      </c>
      <c r="C118" s="4">
        <f>-IPMT('With Loan'!$D$41/12,'30% Down Amortization'!$A118,360,'With Loan'!$D$40,0,0)</f>
        <v>523.70401896163446</v>
      </c>
      <c r="D118" s="4">
        <f t="shared" si="3"/>
        <v>1077.7884491827506</v>
      </c>
      <c r="E118" s="3">
        <f t="shared" si="4"/>
        <v>192813.55334022839</v>
      </c>
    </row>
    <row r="119" spans="1:5" x14ac:dyDescent="0.25">
      <c r="A119">
        <v>116</v>
      </c>
      <c r="B119" s="4">
        <f>-PPMT('With Loan'!$D$41/12,'30% Down Amortization'!$A119,360,'With Loan'!$D$40,0,0)</f>
        <v>555.58507555296478</v>
      </c>
      <c r="C119" s="4">
        <f>-IPMT('With Loan'!$D$41/12,'30% Down Amortization'!$A119,360,'With Loan'!$D$40,0,0)</f>
        <v>522.20337362978557</v>
      </c>
      <c r="D119" s="4">
        <f t="shared" si="3"/>
        <v>1077.7884491827504</v>
      </c>
      <c r="E119" s="3">
        <f t="shared" si="4"/>
        <v>192257.96826467544</v>
      </c>
    </row>
    <row r="120" spans="1:5" x14ac:dyDescent="0.25">
      <c r="A120">
        <v>117</v>
      </c>
      <c r="B120" s="4">
        <f>-PPMT('With Loan'!$D$41/12,'30% Down Amortization'!$A120,360,'With Loan'!$D$40,0,0)</f>
        <v>557.08978513258751</v>
      </c>
      <c r="C120" s="4">
        <f>-IPMT('With Loan'!$D$41/12,'30% Down Amortization'!$A120,360,'With Loan'!$D$40,0,0)</f>
        <v>520.69866405016307</v>
      </c>
      <c r="D120" s="4">
        <f t="shared" si="3"/>
        <v>1077.7884491827506</v>
      </c>
      <c r="E120" s="3">
        <f t="shared" si="4"/>
        <v>191700.87847954285</v>
      </c>
    </row>
    <row r="121" spans="1:5" x14ac:dyDescent="0.25">
      <c r="A121">
        <v>118</v>
      </c>
      <c r="B121" s="4">
        <f>-PPMT('With Loan'!$D$41/12,'30% Down Amortization'!$A121,360,'With Loan'!$D$40,0,0)</f>
        <v>558.59856996732162</v>
      </c>
      <c r="C121" s="4">
        <f>-IPMT('With Loan'!$D$41/12,'30% Down Amortization'!$A121,360,'With Loan'!$D$40,0,0)</f>
        <v>519.18987921542885</v>
      </c>
      <c r="D121" s="4">
        <f t="shared" si="3"/>
        <v>1077.7884491827504</v>
      </c>
      <c r="E121" s="3">
        <f t="shared" si="4"/>
        <v>191142.27990957553</v>
      </c>
    </row>
    <row r="122" spans="1:5" x14ac:dyDescent="0.25">
      <c r="A122">
        <v>119</v>
      </c>
      <c r="B122" s="4">
        <f>-PPMT('With Loan'!$D$41/12,'30% Down Amortization'!$A122,360,'With Loan'!$D$40,0,0)</f>
        <v>560.11144109431643</v>
      </c>
      <c r="C122" s="4">
        <f>-IPMT('With Loan'!$D$41/12,'30% Down Amortization'!$A122,360,'With Loan'!$D$40,0,0)</f>
        <v>517.67700808843404</v>
      </c>
      <c r="D122" s="4">
        <f t="shared" si="3"/>
        <v>1077.7884491827504</v>
      </c>
      <c r="E122" s="3">
        <f t="shared" si="4"/>
        <v>190582.16846848122</v>
      </c>
    </row>
    <row r="123" spans="1:5" x14ac:dyDescent="0.25">
      <c r="A123">
        <v>120</v>
      </c>
      <c r="B123" s="4">
        <f>-PPMT('With Loan'!$D$41/12,'30% Down Amortization'!$A123,360,'With Loan'!$D$40,0,0)</f>
        <v>561.62840958061361</v>
      </c>
      <c r="C123" s="4">
        <f>-IPMT('With Loan'!$D$41/12,'30% Down Amortization'!$A123,360,'With Loan'!$D$40,0,0)</f>
        <v>516.16003960213709</v>
      </c>
      <c r="D123" s="4">
        <f t="shared" si="3"/>
        <v>1077.7884491827508</v>
      </c>
      <c r="E123" s="3">
        <f t="shared" si="4"/>
        <v>190020.5400589006</v>
      </c>
    </row>
    <row r="124" spans="1:5" x14ac:dyDescent="0.25">
      <c r="A124">
        <v>121</v>
      </c>
      <c r="B124" s="4">
        <f>-PPMT('With Loan'!$D$41/12,'30% Down Amortization'!$A124,360,'With Loan'!$D$40,0,0)</f>
        <v>563.14948652322767</v>
      </c>
      <c r="C124" s="4">
        <f>-IPMT('With Loan'!$D$41/12,'30% Down Amortization'!$A124,360,'With Loan'!$D$40,0,0)</f>
        <v>514.63896265952292</v>
      </c>
      <c r="D124" s="4">
        <f t="shared" si="3"/>
        <v>1077.7884491827506</v>
      </c>
      <c r="E124" s="3">
        <f t="shared" si="4"/>
        <v>189457.39057237736</v>
      </c>
    </row>
    <row r="125" spans="1:5" x14ac:dyDescent="0.25">
      <c r="A125">
        <v>122</v>
      </c>
      <c r="B125" s="4">
        <f>-PPMT('With Loan'!$D$41/12,'30% Down Amortization'!$A125,360,'With Loan'!$D$40,0,0)</f>
        <v>564.67468304922807</v>
      </c>
      <c r="C125" s="4">
        <f>-IPMT('With Loan'!$D$41/12,'30% Down Amortization'!$A125,360,'With Loan'!$D$40,0,0)</f>
        <v>513.11376613352252</v>
      </c>
      <c r="D125" s="4">
        <f t="shared" si="3"/>
        <v>1077.7884491827506</v>
      </c>
      <c r="E125" s="3">
        <f t="shared" si="4"/>
        <v>188892.71588932813</v>
      </c>
    </row>
    <row r="126" spans="1:5" x14ac:dyDescent="0.25">
      <c r="A126">
        <v>123</v>
      </c>
      <c r="B126" s="4">
        <f>-PPMT('With Loan'!$D$41/12,'30% Down Amortization'!$A126,360,'With Loan'!$D$40,0,0)</f>
        <v>566.2040103158198</v>
      </c>
      <c r="C126" s="4">
        <f>-IPMT('With Loan'!$D$41/12,'30% Down Amortization'!$A126,360,'With Loan'!$D$40,0,0)</f>
        <v>511.58443886693084</v>
      </c>
      <c r="D126" s="4">
        <f t="shared" si="3"/>
        <v>1077.7884491827506</v>
      </c>
      <c r="E126" s="3">
        <f t="shared" si="4"/>
        <v>188326.51187901231</v>
      </c>
    </row>
    <row r="127" spans="1:5" x14ac:dyDescent="0.25">
      <c r="A127">
        <v>124</v>
      </c>
      <c r="B127" s="4">
        <f>-PPMT('With Loan'!$D$41/12,'30% Down Amortization'!$A127,360,'With Loan'!$D$40,0,0)</f>
        <v>567.73747951042515</v>
      </c>
      <c r="C127" s="4">
        <f>-IPMT('With Loan'!$D$41/12,'30% Down Amortization'!$A127,360,'With Loan'!$D$40,0,0)</f>
        <v>510.05096967232544</v>
      </c>
      <c r="D127" s="4">
        <f t="shared" si="3"/>
        <v>1077.7884491827506</v>
      </c>
      <c r="E127" s="3">
        <f t="shared" si="4"/>
        <v>187758.77439950188</v>
      </c>
    </row>
    <row r="128" spans="1:5" x14ac:dyDescent="0.25">
      <c r="A128">
        <v>125</v>
      </c>
      <c r="B128" s="4">
        <f>-PPMT('With Loan'!$D$41/12,'30% Down Amortization'!$A128,360,'With Loan'!$D$40,0,0)</f>
        <v>569.27510185076574</v>
      </c>
      <c r="C128" s="4">
        <f>-IPMT('With Loan'!$D$41/12,'30% Down Amortization'!$A128,360,'With Loan'!$D$40,0,0)</f>
        <v>508.51334733198468</v>
      </c>
      <c r="D128" s="4">
        <f t="shared" si="3"/>
        <v>1077.7884491827504</v>
      </c>
      <c r="E128" s="3">
        <f t="shared" si="4"/>
        <v>187189.49929765111</v>
      </c>
    </row>
    <row r="129" spans="1:5" x14ac:dyDescent="0.25">
      <c r="A129">
        <v>126</v>
      </c>
      <c r="B129" s="4">
        <f>-PPMT('With Loan'!$D$41/12,'30% Down Amortization'!$A129,360,'With Loan'!$D$40,0,0)</f>
        <v>570.81688858494499</v>
      </c>
      <c r="C129" s="4">
        <f>-IPMT('With Loan'!$D$41/12,'30% Down Amortization'!$A129,360,'With Loan'!$D$40,0,0)</f>
        <v>506.97156059780559</v>
      </c>
      <c r="D129" s="4">
        <f t="shared" si="3"/>
        <v>1077.7884491827506</v>
      </c>
      <c r="E129" s="3">
        <f t="shared" si="4"/>
        <v>186618.68240906615</v>
      </c>
    </row>
    <row r="130" spans="1:5" x14ac:dyDescent="0.25">
      <c r="A130">
        <v>127</v>
      </c>
      <c r="B130" s="4">
        <f>-PPMT('With Loan'!$D$41/12,'30% Down Amortization'!$A130,360,'With Loan'!$D$40,0,0)</f>
        <v>572.36285099152917</v>
      </c>
      <c r="C130" s="4">
        <f>-IPMT('With Loan'!$D$41/12,'30% Down Amortization'!$A130,360,'With Loan'!$D$40,0,0)</f>
        <v>505.42559819122124</v>
      </c>
      <c r="D130" s="4">
        <f t="shared" si="3"/>
        <v>1077.7884491827504</v>
      </c>
      <c r="E130" s="3">
        <f t="shared" si="4"/>
        <v>186046.31955807461</v>
      </c>
    </row>
    <row r="131" spans="1:5" x14ac:dyDescent="0.25">
      <c r="A131">
        <v>128</v>
      </c>
      <c r="B131" s="4">
        <f>-PPMT('With Loan'!$D$41/12,'30% Down Amortization'!$A131,360,'With Loan'!$D$40,0,0)</f>
        <v>573.91300037963128</v>
      </c>
      <c r="C131" s="4">
        <f>-IPMT('With Loan'!$D$41/12,'30% Down Amortization'!$A131,360,'With Loan'!$D$40,0,0)</f>
        <v>503.8754488031193</v>
      </c>
      <c r="D131" s="4">
        <f t="shared" si="3"/>
        <v>1077.7884491827506</v>
      </c>
      <c r="E131" s="3">
        <f t="shared" si="4"/>
        <v>185472.40655769498</v>
      </c>
    </row>
    <row r="132" spans="1:5" x14ac:dyDescent="0.25">
      <c r="A132">
        <v>129</v>
      </c>
      <c r="B132" s="4">
        <f>-PPMT('With Loan'!$D$41/12,'30% Down Amortization'!$A132,360,'With Loan'!$D$40,0,0)</f>
        <v>575.46734808899271</v>
      </c>
      <c r="C132" s="4">
        <f>-IPMT('With Loan'!$D$41/12,'30% Down Amortization'!$A132,360,'With Loan'!$D$40,0,0)</f>
        <v>502.3211010937577</v>
      </c>
      <c r="D132" s="4">
        <f t="shared" si="3"/>
        <v>1077.7884491827504</v>
      </c>
      <c r="E132" s="3">
        <f t="shared" si="4"/>
        <v>184896.93920960597</v>
      </c>
    </row>
    <row r="133" spans="1:5" x14ac:dyDescent="0.25">
      <c r="A133">
        <v>130</v>
      </c>
      <c r="B133" s="4">
        <f>-PPMT('With Loan'!$D$41/12,'30% Down Amortization'!$A133,360,'With Loan'!$D$40,0,0)</f>
        <v>577.02590549006709</v>
      </c>
      <c r="C133" s="4">
        <f>-IPMT('With Loan'!$D$41/12,'30% Down Amortization'!$A133,360,'With Loan'!$D$40,0,0)</f>
        <v>500.76254369268344</v>
      </c>
      <c r="D133" s="4">
        <f t="shared" ref="D133:D196" si="5">B133+C133</f>
        <v>1077.7884491827506</v>
      </c>
      <c r="E133" s="3">
        <f t="shared" si="4"/>
        <v>184319.91330411591</v>
      </c>
    </row>
    <row r="134" spans="1:5" x14ac:dyDescent="0.25">
      <c r="A134">
        <v>131</v>
      </c>
      <c r="B134" s="4">
        <f>-PPMT('With Loan'!$D$41/12,'30% Down Amortization'!$A134,360,'With Loan'!$D$40,0,0)</f>
        <v>578.58868398410266</v>
      </c>
      <c r="C134" s="4">
        <f>-IPMT('With Loan'!$D$41/12,'30% Down Amortization'!$A134,360,'With Loan'!$D$40,0,0)</f>
        <v>499.19976519864775</v>
      </c>
      <c r="D134" s="4">
        <f t="shared" si="5"/>
        <v>1077.7884491827504</v>
      </c>
      <c r="E134" s="3">
        <f t="shared" si="4"/>
        <v>183741.32462013181</v>
      </c>
    </row>
    <row r="135" spans="1:5" x14ac:dyDescent="0.25">
      <c r="A135">
        <v>132</v>
      </c>
      <c r="B135" s="4">
        <f>-PPMT('With Loan'!$D$41/12,'30% Down Amortization'!$A135,360,'With Loan'!$D$40,0,0)</f>
        <v>580.15569500322636</v>
      </c>
      <c r="C135" s="4">
        <f>-IPMT('With Loan'!$D$41/12,'30% Down Amortization'!$A135,360,'With Loan'!$D$40,0,0)</f>
        <v>497.63275417952417</v>
      </c>
      <c r="D135" s="4">
        <f t="shared" si="5"/>
        <v>1077.7884491827506</v>
      </c>
      <c r="E135" s="3">
        <f t="shared" si="4"/>
        <v>183161.16892512859</v>
      </c>
    </row>
    <row r="136" spans="1:5" x14ac:dyDescent="0.25">
      <c r="A136">
        <v>133</v>
      </c>
      <c r="B136" s="4">
        <f>-PPMT('With Loan'!$D$41/12,'30% Down Amortization'!$A136,360,'With Loan'!$D$40,0,0)</f>
        <v>581.72695001052682</v>
      </c>
      <c r="C136" s="4">
        <f>-IPMT('With Loan'!$D$41/12,'30% Down Amortization'!$A136,360,'With Loan'!$D$40,0,0)</f>
        <v>496.06149917222376</v>
      </c>
      <c r="D136" s="4">
        <f t="shared" si="5"/>
        <v>1077.7884491827506</v>
      </c>
      <c r="E136" s="3">
        <f t="shared" si="4"/>
        <v>182579.44197511807</v>
      </c>
    </row>
    <row r="137" spans="1:5" x14ac:dyDescent="0.25">
      <c r="A137">
        <v>134</v>
      </c>
      <c r="B137" s="4">
        <f>-PPMT('With Loan'!$D$41/12,'30% Down Amortization'!$A137,360,'With Loan'!$D$40,0,0)</f>
        <v>583.30246050013864</v>
      </c>
      <c r="C137" s="4">
        <f>-IPMT('With Loan'!$D$41/12,'30% Down Amortization'!$A137,360,'With Loan'!$D$40,0,0)</f>
        <v>494.485988682612</v>
      </c>
      <c r="D137" s="4">
        <f t="shared" si="5"/>
        <v>1077.7884491827506</v>
      </c>
      <c r="E137" s="3">
        <f t="shared" si="4"/>
        <v>181996.13951461794</v>
      </c>
    </row>
    <row r="138" spans="1:5" x14ac:dyDescent="0.25">
      <c r="A138">
        <v>135</v>
      </c>
      <c r="B138" s="4">
        <f>-PPMT('With Loan'!$D$41/12,'30% Down Amortization'!$A138,360,'With Loan'!$D$40,0,0)</f>
        <v>584.88223799732646</v>
      </c>
      <c r="C138" s="4">
        <f>-IPMT('With Loan'!$D$41/12,'30% Down Amortization'!$A138,360,'With Loan'!$D$40,0,0)</f>
        <v>492.90621118542407</v>
      </c>
      <c r="D138" s="4">
        <f t="shared" si="5"/>
        <v>1077.7884491827506</v>
      </c>
      <c r="E138" s="3">
        <f t="shared" si="4"/>
        <v>181411.25727662063</v>
      </c>
    </row>
    <row r="139" spans="1:5" x14ac:dyDescent="0.25">
      <c r="A139">
        <v>136</v>
      </c>
      <c r="B139" s="4">
        <f>-PPMT('With Loan'!$D$41/12,'30% Down Amortization'!$A139,360,'With Loan'!$D$40,0,0)</f>
        <v>586.46629405856913</v>
      </c>
      <c r="C139" s="4">
        <f>-IPMT('With Loan'!$D$41/12,'30% Down Amortization'!$A139,360,'With Loan'!$D$40,0,0)</f>
        <v>491.32215512418122</v>
      </c>
      <c r="D139" s="4">
        <f t="shared" si="5"/>
        <v>1077.7884491827504</v>
      </c>
      <c r="E139" s="3">
        <f t="shared" si="4"/>
        <v>180824.79098256206</v>
      </c>
    </row>
    <row r="140" spans="1:5" x14ac:dyDescent="0.25">
      <c r="A140">
        <v>137</v>
      </c>
      <c r="B140" s="4">
        <f>-PPMT('With Loan'!$D$41/12,'30% Down Amortization'!$A140,360,'With Loan'!$D$40,0,0)</f>
        <v>588.05464027164442</v>
      </c>
      <c r="C140" s="4">
        <f>-IPMT('With Loan'!$D$41/12,'30% Down Amortization'!$A140,360,'With Loan'!$D$40,0,0)</f>
        <v>489.733808911106</v>
      </c>
      <c r="D140" s="4">
        <f t="shared" si="5"/>
        <v>1077.7884491827504</v>
      </c>
      <c r="E140" s="3">
        <f t="shared" si="4"/>
        <v>180236.73634229042</v>
      </c>
    </row>
    <row r="141" spans="1:5" x14ac:dyDescent="0.25">
      <c r="A141">
        <v>138</v>
      </c>
      <c r="B141" s="4">
        <f>-PPMT('With Loan'!$D$41/12,'30% Down Amortization'!$A141,360,'With Loan'!$D$40,0,0)</f>
        <v>589.64728825571353</v>
      </c>
      <c r="C141" s="4">
        <f>-IPMT('With Loan'!$D$41/12,'30% Down Amortization'!$A141,360,'With Loan'!$D$40,0,0)</f>
        <v>488.14116092703688</v>
      </c>
      <c r="D141" s="4">
        <f t="shared" si="5"/>
        <v>1077.7884491827504</v>
      </c>
      <c r="E141" s="3">
        <f t="shared" si="4"/>
        <v>179647.0890540347</v>
      </c>
    </row>
    <row r="142" spans="1:5" x14ac:dyDescent="0.25">
      <c r="A142">
        <v>139</v>
      </c>
      <c r="B142" s="4">
        <f>-PPMT('With Loan'!$D$41/12,'30% Down Amortization'!$A142,360,'With Loan'!$D$40,0,0)</f>
        <v>591.24424966140612</v>
      </c>
      <c r="C142" s="4">
        <f>-IPMT('With Loan'!$D$41/12,'30% Down Amortization'!$A142,360,'With Loan'!$D$40,0,0)</f>
        <v>486.54419952134447</v>
      </c>
      <c r="D142" s="4">
        <f t="shared" si="5"/>
        <v>1077.7884491827506</v>
      </c>
      <c r="E142" s="3">
        <f t="shared" si="4"/>
        <v>179055.84480437331</v>
      </c>
    </row>
    <row r="143" spans="1:5" x14ac:dyDescent="0.25">
      <c r="A143">
        <v>140</v>
      </c>
      <c r="B143" s="4">
        <f>-PPMT('With Loan'!$D$41/12,'30% Down Amortization'!$A143,360,'With Loan'!$D$40,0,0)</f>
        <v>592.8455361709058</v>
      </c>
      <c r="C143" s="4">
        <f>-IPMT('With Loan'!$D$41/12,'30% Down Amortization'!$A143,360,'With Loan'!$D$40,0,0)</f>
        <v>484.94291301184472</v>
      </c>
      <c r="D143" s="4">
        <f t="shared" si="5"/>
        <v>1077.7884491827506</v>
      </c>
      <c r="E143" s="3">
        <f t="shared" si="4"/>
        <v>178462.9992682024</v>
      </c>
    </row>
    <row r="144" spans="1:5" x14ac:dyDescent="0.25">
      <c r="A144">
        <v>141</v>
      </c>
      <c r="B144" s="4">
        <f>-PPMT('With Loan'!$D$41/12,'30% Down Amortization'!$A144,360,'With Loan'!$D$40,0,0)</f>
        <v>594.45115949803528</v>
      </c>
      <c r="C144" s="4">
        <f>-IPMT('With Loan'!$D$41/12,'30% Down Amortization'!$A144,360,'With Loan'!$D$40,0,0)</f>
        <v>483.3372896847153</v>
      </c>
      <c r="D144" s="4">
        <f t="shared" si="5"/>
        <v>1077.7884491827506</v>
      </c>
      <c r="E144" s="3">
        <f t="shared" si="4"/>
        <v>177868.54810870436</v>
      </c>
    </row>
    <row r="145" spans="1:5" x14ac:dyDescent="0.25">
      <c r="A145">
        <v>142</v>
      </c>
      <c r="B145" s="4">
        <f>-PPMT('With Loan'!$D$41/12,'30% Down Amortization'!$A145,360,'With Loan'!$D$40,0,0)</f>
        <v>596.06113138834246</v>
      </c>
      <c r="C145" s="4">
        <f>-IPMT('With Loan'!$D$41/12,'30% Down Amortization'!$A145,360,'With Loan'!$D$40,0,0)</f>
        <v>481.72731779440807</v>
      </c>
      <c r="D145" s="4">
        <f t="shared" si="5"/>
        <v>1077.7884491827506</v>
      </c>
      <c r="E145" s="3">
        <f t="shared" si="4"/>
        <v>177272.486977316</v>
      </c>
    </row>
    <row r="146" spans="1:5" x14ac:dyDescent="0.25">
      <c r="A146">
        <v>143</v>
      </c>
      <c r="B146" s="4">
        <f>-PPMT('With Loan'!$D$41/12,'30% Down Amortization'!$A146,360,'With Loan'!$D$40,0,0)</f>
        <v>597.67546361918585</v>
      </c>
      <c r="C146" s="4">
        <f>-IPMT('With Loan'!$D$41/12,'30% Down Amortization'!$A146,360,'With Loan'!$D$40,0,0)</f>
        <v>480.11298556356468</v>
      </c>
      <c r="D146" s="4">
        <f t="shared" si="5"/>
        <v>1077.7884491827506</v>
      </c>
      <c r="E146" s="3">
        <f t="shared" si="4"/>
        <v>176674.81151369683</v>
      </c>
    </row>
    <row r="147" spans="1:5" x14ac:dyDescent="0.25">
      <c r="A147">
        <v>144</v>
      </c>
      <c r="B147" s="4">
        <f>-PPMT('With Loan'!$D$41/12,'30% Down Amortization'!$A147,360,'With Loan'!$D$40,0,0)</f>
        <v>599.29416799982118</v>
      </c>
      <c r="C147" s="4">
        <f>-IPMT('With Loan'!$D$41/12,'30% Down Amortization'!$A147,360,'With Loan'!$D$40,0,0)</f>
        <v>478.49428118292934</v>
      </c>
      <c r="D147" s="4">
        <f t="shared" si="5"/>
        <v>1077.7884491827506</v>
      </c>
      <c r="E147" s="3">
        <f t="shared" si="4"/>
        <v>176075.51734569701</v>
      </c>
    </row>
    <row r="148" spans="1:5" x14ac:dyDescent="0.25">
      <c r="A148">
        <v>145</v>
      </c>
      <c r="B148" s="4">
        <f>-PPMT('With Loan'!$D$41/12,'30% Down Amortization'!$A148,360,'With Loan'!$D$40,0,0)</f>
        <v>600.91725637148738</v>
      </c>
      <c r="C148" s="4">
        <f>-IPMT('With Loan'!$D$41/12,'30% Down Amortization'!$A148,360,'With Loan'!$D$40,0,0)</f>
        <v>476.8711928112632</v>
      </c>
      <c r="D148" s="4">
        <f t="shared" si="5"/>
        <v>1077.7884491827506</v>
      </c>
      <c r="E148" s="3">
        <f t="shared" si="4"/>
        <v>175474.60008932551</v>
      </c>
    </row>
    <row r="149" spans="1:5" x14ac:dyDescent="0.25">
      <c r="A149">
        <v>146</v>
      </c>
      <c r="B149" s="4">
        <f>-PPMT('With Loan'!$D$41/12,'30% Down Amortization'!$A149,360,'With Loan'!$D$40,0,0)</f>
        <v>602.54474060749362</v>
      </c>
      <c r="C149" s="4">
        <f>-IPMT('With Loan'!$D$41/12,'30% Down Amortization'!$A149,360,'With Loan'!$D$40,0,0)</f>
        <v>475.24370857525707</v>
      </c>
      <c r="D149" s="4">
        <f t="shared" si="5"/>
        <v>1077.7884491827508</v>
      </c>
      <c r="E149" s="3">
        <f t="shared" si="4"/>
        <v>174872.05534871802</v>
      </c>
    </row>
    <row r="150" spans="1:5" x14ac:dyDescent="0.25">
      <c r="A150">
        <v>147</v>
      </c>
      <c r="B150" s="4">
        <f>-PPMT('With Loan'!$D$41/12,'30% Down Amortization'!$A150,360,'With Loan'!$D$40,0,0)</f>
        <v>604.1766326133054</v>
      </c>
      <c r="C150" s="4">
        <f>-IPMT('With Loan'!$D$41/12,'30% Down Amortization'!$A150,360,'With Loan'!$D$40,0,0)</f>
        <v>473.61181656944501</v>
      </c>
      <c r="D150" s="4">
        <f t="shared" si="5"/>
        <v>1077.7884491827504</v>
      </c>
      <c r="E150" s="3">
        <f t="shared" si="4"/>
        <v>174267.87871610472</v>
      </c>
    </row>
    <row r="151" spans="1:5" x14ac:dyDescent="0.25">
      <c r="A151">
        <v>148</v>
      </c>
      <c r="B151" s="4">
        <f>-PPMT('With Loan'!$D$41/12,'30% Down Amortization'!$A151,360,'With Loan'!$D$40,0,0)</f>
        <v>605.81294432663321</v>
      </c>
      <c r="C151" s="4">
        <f>-IPMT('With Loan'!$D$41/12,'30% Down Amortization'!$A151,360,'With Loan'!$D$40,0,0)</f>
        <v>471.97550485611737</v>
      </c>
      <c r="D151" s="4">
        <f t="shared" si="5"/>
        <v>1077.7884491827506</v>
      </c>
      <c r="E151" s="3">
        <f t="shared" si="4"/>
        <v>173662.06577177809</v>
      </c>
    </row>
    <row r="152" spans="1:5" x14ac:dyDescent="0.25">
      <c r="A152">
        <v>149</v>
      </c>
      <c r="B152" s="4">
        <f>-PPMT('With Loan'!$D$41/12,'30% Down Amortization'!$A152,360,'With Loan'!$D$40,0,0)</f>
        <v>607.45368771751782</v>
      </c>
      <c r="C152" s="4">
        <f>-IPMT('With Loan'!$D$41/12,'30% Down Amortization'!$A152,360,'With Loan'!$D$40,0,0)</f>
        <v>470.3347614652327</v>
      </c>
      <c r="D152" s="4">
        <f t="shared" si="5"/>
        <v>1077.7884491827506</v>
      </c>
      <c r="E152" s="3">
        <f t="shared" si="4"/>
        <v>173054.61208406056</v>
      </c>
    </row>
    <row r="153" spans="1:5" x14ac:dyDescent="0.25">
      <c r="A153">
        <v>150</v>
      </c>
      <c r="B153" s="4">
        <f>-PPMT('With Loan'!$D$41/12,'30% Down Amortization'!$A153,360,'With Loan'!$D$40,0,0)</f>
        <v>609.09887478841927</v>
      </c>
      <c r="C153" s="4">
        <f>-IPMT('With Loan'!$D$41/12,'30% Down Amortization'!$A153,360,'With Loan'!$D$40,0,0)</f>
        <v>468.68957439433115</v>
      </c>
      <c r="D153" s="4">
        <f t="shared" si="5"/>
        <v>1077.7884491827504</v>
      </c>
      <c r="E153" s="3">
        <f t="shared" si="4"/>
        <v>172445.51320927215</v>
      </c>
    </row>
    <row r="154" spans="1:5" x14ac:dyDescent="0.25">
      <c r="A154">
        <v>151</v>
      </c>
      <c r="B154" s="4">
        <f>-PPMT('With Loan'!$D$41/12,'30% Down Amortization'!$A154,360,'With Loan'!$D$40,0,0)</f>
        <v>610.74851757430474</v>
      </c>
      <c r="C154" s="4">
        <f>-IPMT('With Loan'!$D$41/12,'30% Down Amortization'!$A154,360,'With Loan'!$D$40,0,0)</f>
        <v>467.03993160844578</v>
      </c>
      <c r="D154" s="4">
        <f t="shared" si="5"/>
        <v>1077.7884491827506</v>
      </c>
      <c r="E154" s="3">
        <f t="shared" si="4"/>
        <v>171834.76469169784</v>
      </c>
    </row>
    <row r="155" spans="1:5" x14ac:dyDescent="0.25">
      <c r="A155">
        <v>152</v>
      </c>
      <c r="B155" s="4">
        <f>-PPMT('With Loan'!$D$41/12,'30% Down Amortization'!$A155,360,'With Loan'!$D$40,0,0)</f>
        <v>612.40262814273501</v>
      </c>
      <c r="C155" s="4">
        <f>-IPMT('With Loan'!$D$41/12,'30% Down Amortization'!$A155,360,'With Loan'!$D$40,0,0)</f>
        <v>465.3858210400154</v>
      </c>
      <c r="D155" s="4">
        <f t="shared" si="5"/>
        <v>1077.7884491827504</v>
      </c>
      <c r="E155" s="3">
        <f t="shared" si="4"/>
        <v>171222.36206355511</v>
      </c>
    </row>
    <row r="156" spans="1:5" x14ac:dyDescent="0.25">
      <c r="A156">
        <v>153</v>
      </c>
      <c r="B156" s="4">
        <f>-PPMT('With Loan'!$D$41/12,'30% Down Amortization'!$A156,360,'With Loan'!$D$40,0,0)</f>
        <v>614.061218593955</v>
      </c>
      <c r="C156" s="4">
        <f>-IPMT('With Loan'!$D$41/12,'30% Down Amortization'!$A156,360,'With Loan'!$D$40,0,0)</f>
        <v>463.72723058879546</v>
      </c>
      <c r="D156" s="4">
        <f t="shared" si="5"/>
        <v>1077.7884491827504</v>
      </c>
      <c r="E156" s="3">
        <f t="shared" si="4"/>
        <v>170608.30084496114</v>
      </c>
    </row>
    <row r="157" spans="1:5" x14ac:dyDescent="0.25">
      <c r="A157">
        <v>154</v>
      </c>
      <c r="B157" s="4">
        <f>-PPMT('With Loan'!$D$41/12,'30% Down Amortization'!$A157,360,'With Loan'!$D$40,0,0)</f>
        <v>615.72430106098034</v>
      </c>
      <c r="C157" s="4">
        <f>-IPMT('With Loan'!$D$41/12,'30% Down Amortization'!$A157,360,'With Loan'!$D$40,0,0)</f>
        <v>462.06414812177024</v>
      </c>
      <c r="D157" s="4">
        <f t="shared" si="5"/>
        <v>1077.7884491827506</v>
      </c>
      <c r="E157" s="3">
        <f t="shared" si="4"/>
        <v>169992.57654390016</v>
      </c>
    </row>
    <row r="158" spans="1:5" x14ac:dyDescent="0.25">
      <c r="A158">
        <v>155</v>
      </c>
      <c r="B158" s="4">
        <f>-PPMT('With Loan'!$D$41/12,'30% Down Amortization'!$A158,360,'With Loan'!$D$40,0,0)</f>
        <v>617.39188770968713</v>
      </c>
      <c r="C158" s="4">
        <f>-IPMT('With Loan'!$D$41/12,'30% Down Amortization'!$A158,360,'With Loan'!$D$40,0,0)</f>
        <v>460.3965614730634</v>
      </c>
      <c r="D158" s="4">
        <f t="shared" si="5"/>
        <v>1077.7884491827506</v>
      </c>
      <c r="E158" s="3">
        <f t="shared" si="4"/>
        <v>169375.18465619048</v>
      </c>
    </row>
    <row r="159" spans="1:5" x14ac:dyDescent="0.25">
      <c r="A159">
        <v>156</v>
      </c>
      <c r="B159" s="4">
        <f>-PPMT('With Loan'!$D$41/12,'30% Down Amortization'!$A159,360,'With Loan'!$D$40,0,0)</f>
        <v>619.06399073890088</v>
      </c>
      <c r="C159" s="4">
        <f>-IPMT('With Loan'!$D$41/12,'30% Down Amortization'!$A159,360,'With Loan'!$D$40,0,0)</f>
        <v>458.72445844384964</v>
      </c>
      <c r="D159" s="4">
        <f t="shared" si="5"/>
        <v>1077.7884491827506</v>
      </c>
      <c r="E159" s="3">
        <f t="shared" si="4"/>
        <v>168756.12066545157</v>
      </c>
    </row>
    <row r="160" spans="1:5" x14ac:dyDescent="0.25">
      <c r="A160">
        <v>157</v>
      </c>
      <c r="B160" s="4">
        <f>-PPMT('With Loan'!$D$41/12,'30% Down Amortization'!$A160,360,'With Loan'!$D$40,0,0)</f>
        <v>620.74062238048532</v>
      </c>
      <c r="C160" s="4">
        <f>-IPMT('With Loan'!$D$41/12,'30% Down Amortization'!$A160,360,'With Loan'!$D$40,0,0)</f>
        <v>457.04782680226509</v>
      </c>
      <c r="D160" s="4">
        <f t="shared" si="5"/>
        <v>1077.7884491827504</v>
      </c>
      <c r="E160" s="3">
        <f t="shared" si="4"/>
        <v>168135.38004307108</v>
      </c>
    </row>
    <row r="161" spans="1:5" x14ac:dyDescent="0.25">
      <c r="A161">
        <v>158</v>
      </c>
      <c r="B161" s="4">
        <f>-PPMT('With Loan'!$D$41/12,'30% Down Amortization'!$A161,360,'With Loan'!$D$40,0,0)</f>
        <v>622.42179489943248</v>
      </c>
      <c r="C161" s="4">
        <f>-IPMT('With Loan'!$D$41/12,'30% Down Amortization'!$A161,360,'With Loan'!$D$40,0,0)</f>
        <v>455.36665428331798</v>
      </c>
      <c r="D161" s="4">
        <f t="shared" si="5"/>
        <v>1077.7884491827504</v>
      </c>
      <c r="E161" s="3">
        <f t="shared" si="4"/>
        <v>167512.95824817166</v>
      </c>
    </row>
    <row r="162" spans="1:5" x14ac:dyDescent="0.25">
      <c r="A162">
        <v>159</v>
      </c>
      <c r="B162" s="4">
        <f>-PPMT('With Loan'!$D$41/12,'30% Down Amortization'!$A162,360,'With Loan'!$D$40,0,0)</f>
        <v>624.10752059395179</v>
      </c>
      <c r="C162" s="4">
        <f>-IPMT('With Loan'!$D$41/12,'30% Down Amortization'!$A162,360,'With Loan'!$D$40,0,0)</f>
        <v>453.68092858879868</v>
      </c>
      <c r="D162" s="4">
        <f t="shared" si="5"/>
        <v>1077.7884491827504</v>
      </c>
      <c r="E162" s="3">
        <f t="shared" ref="E162:E225" si="6">E161-B162</f>
        <v>166888.85072757772</v>
      </c>
    </row>
    <row r="163" spans="1:5" x14ac:dyDescent="0.25">
      <c r="A163">
        <v>160</v>
      </c>
      <c r="B163" s="4">
        <f>-PPMT('With Loan'!$D$41/12,'30% Down Amortization'!$A163,360,'With Loan'!$D$40,0,0)</f>
        <v>625.79781179556039</v>
      </c>
      <c r="C163" s="4">
        <f>-IPMT('With Loan'!$D$41/12,'30% Down Amortization'!$A163,360,'With Loan'!$D$40,0,0)</f>
        <v>451.99063738719013</v>
      </c>
      <c r="D163" s="4">
        <f t="shared" si="5"/>
        <v>1077.7884491827506</v>
      </c>
      <c r="E163" s="3">
        <f t="shared" si="6"/>
        <v>166263.05291578217</v>
      </c>
    </row>
    <row r="164" spans="1:5" x14ac:dyDescent="0.25">
      <c r="A164">
        <v>161</v>
      </c>
      <c r="B164" s="4">
        <f>-PPMT('With Loan'!$D$41/12,'30% Down Amortization'!$A164,360,'With Loan'!$D$40,0,0)</f>
        <v>627.49268086917345</v>
      </c>
      <c r="C164" s="4">
        <f>-IPMT('With Loan'!$D$41/12,'30% Down Amortization'!$A164,360,'With Loan'!$D$40,0,0)</f>
        <v>450.29576831357713</v>
      </c>
      <c r="D164" s="4">
        <f t="shared" si="5"/>
        <v>1077.7884491827506</v>
      </c>
      <c r="E164" s="3">
        <f t="shared" si="6"/>
        <v>165635.56023491299</v>
      </c>
    </row>
    <row r="165" spans="1:5" x14ac:dyDescent="0.25">
      <c r="A165">
        <v>162</v>
      </c>
      <c r="B165" s="4">
        <f>-PPMT('With Loan'!$D$41/12,'30% Down Amortization'!$A165,360,'With Loan'!$D$40,0,0)</f>
        <v>629.19214021319408</v>
      </c>
      <c r="C165" s="4">
        <f>-IPMT('With Loan'!$D$41/12,'30% Down Amortization'!$A165,360,'With Loan'!$D$40,0,0)</f>
        <v>448.59630896955645</v>
      </c>
      <c r="D165" s="4">
        <f t="shared" si="5"/>
        <v>1077.7884491827506</v>
      </c>
      <c r="E165" s="3">
        <f t="shared" si="6"/>
        <v>165006.36809469981</v>
      </c>
    </row>
    <row r="166" spans="1:5" x14ac:dyDescent="0.25">
      <c r="A166">
        <v>163</v>
      </c>
      <c r="B166" s="4">
        <f>-PPMT('With Loan'!$D$41/12,'30% Down Amortization'!$A166,360,'With Loan'!$D$40,0,0)</f>
        <v>630.89620225960493</v>
      </c>
      <c r="C166" s="4">
        <f>-IPMT('With Loan'!$D$41/12,'30% Down Amortization'!$A166,360,'With Loan'!$D$40,0,0)</f>
        <v>446.89224692314565</v>
      </c>
      <c r="D166" s="4">
        <f t="shared" si="5"/>
        <v>1077.7884491827506</v>
      </c>
      <c r="E166" s="3">
        <f t="shared" si="6"/>
        <v>164375.4718924402</v>
      </c>
    </row>
    <row r="167" spans="1:5" x14ac:dyDescent="0.25">
      <c r="A167">
        <v>164</v>
      </c>
      <c r="B167" s="4">
        <f>-PPMT('With Loan'!$D$41/12,'30% Down Amortization'!$A167,360,'With Loan'!$D$40,0,0)</f>
        <v>632.60487947405784</v>
      </c>
      <c r="C167" s="4">
        <f>-IPMT('With Loan'!$D$41/12,'30% Down Amortization'!$A167,360,'With Loan'!$D$40,0,0)</f>
        <v>445.18356970869263</v>
      </c>
      <c r="D167" s="4">
        <f t="shared" si="5"/>
        <v>1077.7884491827504</v>
      </c>
      <c r="E167" s="3">
        <f t="shared" si="6"/>
        <v>163742.86701296613</v>
      </c>
    </row>
    <row r="168" spans="1:5" x14ac:dyDescent="0.25">
      <c r="A168">
        <v>165</v>
      </c>
      <c r="B168" s="4">
        <f>-PPMT('With Loan'!$D$41/12,'30% Down Amortization'!$A168,360,'With Loan'!$D$40,0,0)</f>
        <v>634.31818435596688</v>
      </c>
      <c r="C168" s="4">
        <f>-IPMT('With Loan'!$D$41/12,'30% Down Amortization'!$A168,360,'With Loan'!$D$40,0,0)</f>
        <v>443.4702648267837</v>
      </c>
      <c r="D168" s="4">
        <f t="shared" si="5"/>
        <v>1077.7884491827506</v>
      </c>
      <c r="E168" s="3">
        <f t="shared" si="6"/>
        <v>163108.54882861016</v>
      </c>
    </row>
    <row r="169" spans="1:5" x14ac:dyDescent="0.25">
      <c r="A169">
        <v>166</v>
      </c>
      <c r="B169" s="4">
        <f>-PPMT('With Loan'!$D$41/12,'30% Down Amortization'!$A169,360,'With Loan'!$D$40,0,0)</f>
        <v>636.03612943859764</v>
      </c>
      <c r="C169" s="4">
        <f>-IPMT('With Loan'!$D$41/12,'30% Down Amortization'!$A169,360,'With Loan'!$D$40,0,0)</f>
        <v>441.75231974415294</v>
      </c>
      <c r="D169" s="4">
        <f t="shared" si="5"/>
        <v>1077.7884491827506</v>
      </c>
      <c r="E169" s="3">
        <f t="shared" si="6"/>
        <v>162472.51269917155</v>
      </c>
    </row>
    <row r="170" spans="1:5" x14ac:dyDescent="0.25">
      <c r="A170">
        <v>167</v>
      </c>
      <c r="B170" s="4">
        <f>-PPMT('With Loan'!$D$41/12,'30% Down Amortization'!$A170,360,'With Loan'!$D$40,0,0)</f>
        <v>637.75872728916045</v>
      </c>
      <c r="C170" s="4">
        <f>-IPMT('With Loan'!$D$41/12,'30% Down Amortization'!$A170,360,'With Loan'!$D$40,0,0)</f>
        <v>440.02972189359002</v>
      </c>
      <c r="D170" s="4">
        <f t="shared" si="5"/>
        <v>1077.7884491827504</v>
      </c>
      <c r="E170" s="3">
        <f t="shared" si="6"/>
        <v>161834.7539718824</v>
      </c>
    </row>
    <row r="171" spans="1:5" x14ac:dyDescent="0.25">
      <c r="A171">
        <v>168</v>
      </c>
      <c r="B171" s="4">
        <f>-PPMT('With Loan'!$D$41/12,'30% Down Amortization'!$A171,360,'With Loan'!$D$40,0,0)</f>
        <v>639.48599050890198</v>
      </c>
      <c r="C171" s="4">
        <f>-IPMT('With Loan'!$D$41/12,'30% Down Amortization'!$A171,360,'With Loan'!$D$40,0,0)</f>
        <v>438.30245867384866</v>
      </c>
      <c r="D171" s="4">
        <f t="shared" si="5"/>
        <v>1077.7884491827506</v>
      </c>
      <c r="E171" s="3">
        <f t="shared" si="6"/>
        <v>161195.2679813735</v>
      </c>
    </row>
    <row r="172" spans="1:5" x14ac:dyDescent="0.25">
      <c r="A172">
        <v>169</v>
      </c>
      <c r="B172" s="4">
        <f>-PPMT('With Loan'!$D$41/12,'30% Down Amortization'!$A172,360,'With Loan'!$D$40,0,0)</f>
        <v>641.21793173319679</v>
      </c>
      <c r="C172" s="4">
        <f>-IPMT('With Loan'!$D$41/12,'30% Down Amortization'!$A172,360,'With Loan'!$D$40,0,0)</f>
        <v>436.57051744955362</v>
      </c>
      <c r="D172" s="4">
        <f t="shared" si="5"/>
        <v>1077.7884491827504</v>
      </c>
      <c r="E172" s="3">
        <f t="shared" si="6"/>
        <v>160554.0500496403</v>
      </c>
    </row>
    <row r="173" spans="1:5" x14ac:dyDescent="0.25">
      <c r="A173">
        <v>170</v>
      </c>
      <c r="B173" s="4">
        <f>-PPMT('With Loan'!$D$41/12,'30% Down Amortization'!$A173,360,'With Loan'!$D$40,0,0)</f>
        <v>642.95456363164089</v>
      </c>
      <c r="C173" s="4">
        <f>-IPMT('With Loan'!$D$41/12,'30% Down Amortization'!$A173,360,'With Loan'!$D$40,0,0)</f>
        <v>434.83388555110963</v>
      </c>
      <c r="D173" s="4">
        <f t="shared" si="5"/>
        <v>1077.7884491827506</v>
      </c>
      <c r="E173" s="3">
        <f t="shared" si="6"/>
        <v>159911.09548600865</v>
      </c>
    </row>
    <row r="174" spans="1:5" x14ac:dyDescent="0.25">
      <c r="A174">
        <v>171</v>
      </c>
      <c r="B174" s="4">
        <f>-PPMT('With Loan'!$D$41/12,'30% Down Amortization'!$A174,360,'With Loan'!$D$40,0,0)</f>
        <v>644.69589890814325</v>
      </c>
      <c r="C174" s="4">
        <f>-IPMT('With Loan'!$D$41/12,'30% Down Amortization'!$A174,360,'With Loan'!$D$40,0,0)</f>
        <v>433.09255027460716</v>
      </c>
      <c r="D174" s="4">
        <f t="shared" si="5"/>
        <v>1077.7884491827504</v>
      </c>
      <c r="E174" s="3">
        <f t="shared" si="6"/>
        <v>159266.39958710052</v>
      </c>
    </row>
    <row r="175" spans="1:5" x14ac:dyDescent="0.25">
      <c r="A175">
        <v>172</v>
      </c>
      <c r="B175" s="4">
        <f>-PPMT('With Loan'!$D$41/12,'30% Down Amortization'!$A175,360,'With Loan'!$D$40,0,0)</f>
        <v>646.44195030101957</v>
      </c>
      <c r="C175" s="4">
        <f>-IPMT('With Loan'!$D$41/12,'30% Down Amortization'!$A175,360,'With Loan'!$D$40,0,0)</f>
        <v>431.34649888173095</v>
      </c>
      <c r="D175" s="4">
        <f t="shared" si="5"/>
        <v>1077.7884491827506</v>
      </c>
      <c r="E175" s="3">
        <f t="shared" si="6"/>
        <v>158619.95763679949</v>
      </c>
    </row>
    <row r="176" spans="1:5" x14ac:dyDescent="0.25">
      <c r="A176">
        <v>173</v>
      </c>
      <c r="B176" s="4">
        <f>-PPMT('With Loan'!$D$41/12,'30% Down Amortization'!$A176,360,'With Loan'!$D$40,0,0)</f>
        <v>648.19273058308465</v>
      </c>
      <c r="C176" s="4">
        <f>-IPMT('With Loan'!$D$41/12,'30% Down Amortization'!$A176,360,'With Loan'!$D$40,0,0)</f>
        <v>429.59571859966576</v>
      </c>
      <c r="D176" s="4">
        <f t="shared" si="5"/>
        <v>1077.7884491827504</v>
      </c>
      <c r="E176" s="3">
        <f t="shared" si="6"/>
        <v>157971.76490621641</v>
      </c>
    </row>
    <row r="177" spans="1:5" x14ac:dyDescent="0.25">
      <c r="A177">
        <v>174</v>
      </c>
      <c r="B177" s="4">
        <f>-PPMT('With Loan'!$D$41/12,'30% Down Amortization'!$A177,360,'With Loan'!$D$40,0,0)</f>
        <v>649.94825256174727</v>
      </c>
      <c r="C177" s="4">
        <f>-IPMT('With Loan'!$D$41/12,'30% Down Amortization'!$A177,360,'With Loan'!$D$40,0,0)</f>
        <v>427.84019662100326</v>
      </c>
      <c r="D177" s="4">
        <f t="shared" si="5"/>
        <v>1077.7884491827506</v>
      </c>
      <c r="E177" s="3">
        <f t="shared" si="6"/>
        <v>157321.81665365468</v>
      </c>
    </row>
    <row r="178" spans="1:5" x14ac:dyDescent="0.25">
      <c r="A178">
        <v>175</v>
      </c>
      <c r="B178" s="4">
        <f>-PPMT('With Loan'!$D$41/12,'30% Down Amortization'!$A178,360,'With Loan'!$D$40,0,0)</f>
        <v>651.70852907910216</v>
      </c>
      <c r="C178" s="4">
        <f>-IPMT('With Loan'!$D$41/12,'30% Down Amortization'!$A178,360,'With Loan'!$D$40,0,0)</f>
        <v>426.07992010364859</v>
      </c>
      <c r="D178" s="4">
        <f t="shared" si="5"/>
        <v>1077.7884491827508</v>
      </c>
      <c r="E178" s="3">
        <f t="shared" si="6"/>
        <v>156670.10812457558</v>
      </c>
    </row>
    <row r="179" spans="1:5" x14ac:dyDescent="0.25">
      <c r="A179">
        <v>176</v>
      </c>
      <c r="B179" s="4">
        <f>-PPMT('With Loan'!$D$41/12,'30% Down Amortization'!$A179,360,'With Loan'!$D$40,0,0)</f>
        <v>653.47357301202464</v>
      </c>
      <c r="C179" s="4">
        <f>-IPMT('With Loan'!$D$41/12,'30% Down Amortization'!$A179,360,'With Loan'!$D$40,0,0)</f>
        <v>424.31487617072582</v>
      </c>
      <c r="D179" s="4">
        <f t="shared" si="5"/>
        <v>1077.7884491827504</v>
      </c>
      <c r="E179" s="3">
        <f t="shared" si="6"/>
        <v>156016.63455156356</v>
      </c>
    </row>
    <row r="180" spans="1:5" x14ac:dyDescent="0.25">
      <c r="A180">
        <v>177</v>
      </c>
      <c r="B180" s="4">
        <f>-PPMT('With Loan'!$D$41/12,'30% Down Amortization'!$A180,360,'With Loan'!$D$40,0,0)</f>
        <v>655.24339727226561</v>
      </c>
      <c r="C180" s="4">
        <f>-IPMT('With Loan'!$D$41/12,'30% Down Amortization'!$A180,360,'With Loan'!$D$40,0,0)</f>
        <v>422.54505191048497</v>
      </c>
      <c r="D180" s="4">
        <f t="shared" si="5"/>
        <v>1077.7884491827506</v>
      </c>
      <c r="E180" s="3">
        <f t="shared" si="6"/>
        <v>155361.39115429128</v>
      </c>
    </row>
    <row r="181" spans="1:5" x14ac:dyDescent="0.25">
      <c r="A181">
        <v>178</v>
      </c>
      <c r="B181" s="4">
        <f>-PPMT('With Loan'!$D$41/12,'30% Down Amortization'!$A181,360,'With Loan'!$D$40,0,0)</f>
        <v>657.01801480654467</v>
      </c>
      <c r="C181" s="4">
        <f>-IPMT('With Loan'!$D$41/12,'30% Down Amortization'!$A181,360,'With Loan'!$D$40,0,0)</f>
        <v>420.77043437620597</v>
      </c>
      <c r="D181" s="4">
        <f t="shared" si="5"/>
        <v>1077.7884491827506</v>
      </c>
      <c r="E181" s="3">
        <f t="shared" si="6"/>
        <v>154704.37313948473</v>
      </c>
    </row>
    <row r="182" spans="1:5" x14ac:dyDescent="0.25">
      <c r="A182">
        <v>179</v>
      </c>
      <c r="B182" s="4">
        <f>-PPMT('With Loan'!$D$41/12,'30% Down Amortization'!$A182,360,'With Loan'!$D$40,0,0)</f>
        <v>658.79743859664563</v>
      </c>
      <c r="C182" s="4">
        <f>-IPMT('With Loan'!$D$41/12,'30% Down Amortization'!$A182,360,'With Loan'!$D$40,0,0)</f>
        <v>418.99101058610489</v>
      </c>
      <c r="D182" s="4">
        <f t="shared" si="5"/>
        <v>1077.7884491827506</v>
      </c>
      <c r="E182" s="3">
        <f t="shared" si="6"/>
        <v>154045.57570088809</v>
      </c>
    </row>
    <row r="183" spans="1:5" x14ac:dyDescent="0.25">
      <c r="A183">
        <v>180</v>
      </c>
      <c r="B183" s="4">
        <f>-PPMT('With Loan'!$D$41/12,'30% Down Amortization'!$A183,360,'With Loan'!$D$40,0,0)</f>
        <v>660.58168165951156</v>
      </c>
      <c r="C183" s="4">
        <f>-IPMT('With Loan'!$D$41/12,'30% Down Amortization'!$A183,360,'With Loan'!$D$40,0,0)</f>
        <v>417.20676752323908</v>
      </c>
      <c r="D183" s="4">
        <f t="shared" si="5"/>
        <v>1077.7884491827506</v>
      </c>
      <c r="E183" s="3">
        <f t="shared" si="6"/>
        <v>153384.99401922859</v>
      </c>
    </row>
    <row r="184" spans="1:5" x14ac:dyDescent="0.25">
      <c r="A184">
        <v>181</v>
      </c>
      <c r="B184" s="4">
        <f>-PPMT('With Loan'!$D$41/12,'30% Down Amortization'!$A184,360,'With Loan'!$D$40,0,0)</f>
        <v>662.37075704733934</v>
      </c>
      <c r="C184" s="4">
        <f>-IPMT('With Loan'!$D$41/12,'30% Down Amortization'!$A184,360,'With Loan'!$D$40,0,0)</f>
        <v>415.41769213541119</v>
      </c>
      <c r="D184" s="4">
        <f t="shared" si="5"/>
        <v>1077.7884491827506</v>
      </c>
      <c r="E184" s="3">
        <f t="shared" si="6"/>
        <v>152722.62326218124</v>
      </c>
    </row>
    <row r="185" spans="1:5" x14ac:dyDescent="0.25">
      <c r="A185">
        <v>182</v>
      </c>
      <c r="B185" s="4">
        <f>-PPMT('With Loan'!$D$41/12,'30% Down Amortization'!$A185,360,'With Loan'!$D$40,0,0)</f>
        <v>664.16467784767588</v>
      </c>
      <c r="C185" s="4">
        <f>-IPMT('With Loan'!$D$41/12,'30% Down Amortization'!$A185,360,'With Loan'!$D$40,0,0)</f>
        <v>413.62377133507459</v>
      </c>
      <c r="D185" s="4">
        <f t="shared" si="5"/>
        <v>1077.7884491827504</v>
      </c>
      <c r="E185" s="3">
        <f t="shared" si="6"/>
        <v>152058.45858433357</v>
      </c>
    </row>
    <row r="186" spans="1:5" x14ac:dyDescent="0.25">
      <c r="A186">
        <v>183</v>
      </c>
      <c r="B186" s="4">
        <f>-PPMT('With Loan'!$D$41/12,'30% Down Amortization'!$A186,360,'With Loan'!$D$40,0,0)</f>
        <v>665.96345718351336</v>
      </c>
      <c r="C186" s="4">
        <f>-IPMT('With Loan'!$D$41/12,'30% Down Amortization'!$A186,360,'With Loan'!$D$40,0,0)</f>
        <v>411.82499199923717</v>
      </c>
      <c r="D186" s="4">
        <f t="shared" si="5"/>
        <v>1077.7884491827506</v>
      </c>
      <c r="E186" s="3">
        <f t="shared" si="6"/>
        <v>151392.49512715006</v>
      </c>
    </row>
    <row r="187" spans="1:5" x14ac:dyDescent="0.25">
      <c r="A187">
        <v>184</v>
      </c>
      <c r="B187" s="4">
        <f>-PPMT('With Loan'!$D$41/12,'30% Down Amortization'!$A187,360,'With Loan'!$D$40,0,0)</f>
        <v>667.76710821338543</v>
      </c>
      <c r="C187" s="4">
        <f>-IPMT('With Loan'!$D$41/12,'30% Down Amortization'!$A187,360,'With Loan'!$D$40,0,0)</f>
        <v>410.02134096936516</v>
      </c>
      <c r="D187" s="4">
        <f t="shared" si="5"/>
        <v>1077.7884491827506</v>
      </c>
      <c r="E187" s="3">
        <f t="shared" si="6"/>
        <v>150724.72801893667</v>
      </c>
    </row>
    <row r="188" spans="1:5" x14ac:dyDescent="0.25">
      <c r="A188">
        <v>185</v>
      </c>
      <c r="B188" s="4">
        <f>-PPMT('With Loan'!$D$41/12,'30% Down Amortization'!$A188,360,'With Loan'!$D$40,0,0)</f>
        <v>669.57564413146326</v>
      </c>
      <c r="C188" s="4">
        <f>-IPMT('With Loan'!$D$41/12,'30% Down Amortization'!$A188,360,'With Loan'!$D$40,0,0)</f>
        <v>408.21280505128721</v>
      </c>
      <c r="D188" s="4">
        <f t="shared" si="5"/>
        <v>1077.7884491827504</v>
      </c>
      <c r="E188" s="3">
        <f t="shared" si="6"/>
        <v>150055.15237480521</v>
      </c>
    </row>
    <row r="189" spans="1:5" x14ac:dyDescent="0.25">
      <c r="A189">
        <v>186</v>
      </c>
      <c r="B189" s="4">
        <f>-PPMT('With Loan'!$D$41/12,'30% Down Amortization'!$A189,360,'With Loan'!$D$40,0,0)</f>
        <v>671.38907816765266</v>
      </c>
      <c r="C189" s="4">
        <f>-IPMT('With Loan'!$D$41/12,'30% Down Amortization'!$A189,360,'With Loan'!$D$40,0,0)</f>
        <v>406.39937101509787</v>
      </c>
      <c r="D189" s="4">
        <f t="shared" si="5"/>
        <v>1077.7884491827506</v>
      </c>
      <c r="E189" s="3">
        <f t="shared" si="6"/>
        <v>149383.76329663757</v>
      </c>
    </row>
    <row r="190" spans="1:5" x14ac:dyDescent="0.25">
      <c r="A190">
        <v>187</v>
      </c>
      <c r="B190" s="4">
        <f>-PPMT('With Loan'!$D$41/12,'30% Down Amortization'!$A190,360,'With Loan'!$D$40,0,0)</f>
        <v>673.20742358769007</v>
      </c>
      <c r="C190" s="4">
        <f>-IPMT('With Loan'!$D$41/12,'30% Down Amortization'!$A190,360,'With Loan'!$D$40,0,0)</f>
        <v>404.5810255950604</v>
      </c>
      <c r="D190" s="4">
        <f t="shared" si="5"/>
        <v>1077.7884491827504</v>
      </c>
      <c r="E190" s="3">
        <f t="shared" si="6"/>
        <v>148710.55587304989</v>
      </c>
    </row>
    <row r="191" spans="1:5" x14ac:dyDescent="0.25">
      <c r="A191">
        <v>188</v>
      </c>
      <c r="B191" s="4">
        <f>-PPMT('With Loan'!$D$41/12,'30% Down Amortization'!$A191,360,'With Loan'!$D$40,0,0)</f>
        <v>675.0306936932401</v>
      </c>
      <c r="C191" s="4">
        <f>-IPMT('With Loan'!$D$41/12,'30% Down Amortization'!$A191,360,'With Loan'!$D$40,0,0)</f>
        <v>402.75775548951043</v>
      </c>
      <c r="D191" s="4">
        <f t="shared" si="5"/>
        <v>1077.7884491827506</v>
      </c>
      <c r="E191" s="3">
        <f t="shared" si="6"/>
        <v>148035.52517935666</v>
      </c>
    </row>
    <row r="192" spans="1:5" x14ac:dyDescent="0.25">
      <c r="A192">
        <v>189</v>
      </c>
      <c r="B192" s="4">
        <f>-PPMT('With Loan'!$D$41/12,'30% Down Amortization'!$A192,360,'With Loan'!$D$40,0,0)</f>
        <v>676.85890182199262</v>
      </c>
      <c r="C192" s="4">
        <f>-IPMT('With Loan'!$D$41/12,'30% Down Amortization'!$A192,360,'With Loan'!$D$40,0,0)</f>
        <v>400.92954736075797</v>
      </c>
      <c r="D192" s="4">
        <f t="shared" si="5"/>
        <v>1077.7884491827506</v>
      </c>
      <c r="E192" s="3">
        <f t="shared" si="6"/>
        <v>147358.66627753468</v>
      </c>
    </row>
    <row r="193" spans="1:5" x14ac:dyDescent="0.25">
      <c r="A193">
        <v>190</v>
      </c>
      <c r="B193" s="4">
        <f>-PPMT('With Loan'!$D$41/12,'30% Down Amortization'!$A193,360,'With Loan'!$D$40,0,0)</f>
        <v>678.6920613477605</v>
      </c>
      <c r="C193" s="4">
        <f>-IPMT('With Loan'!$D$41/12,'30% Down Amortization'!$A193,360,'With Loan'!$D$40,0,0)</f>
        <v>399.09638783499003</v>
      </c>
      <c r="D193" s="4">
        <f t="shared" si="5"/>
        <v>1077.7884491827506</v>
      </c>
      <c r="E193" s="3">
        <f t="shared" si="6"/>
        <v>146679.97421618691</v>
      </c>
    </row>
    <row r="194" spans="1:5" x14ac:dyDescent="0.25">
      <c r="A194">
        <v>191</v>
      </c>
      <c r="B194" s="4">
        <f>-PPMT('With Loan'!$D$41/12,'30% Down Amortization'!$A194,360,'With Loan'!$D$40,0,0)</f>
        <v>680.53018568057735</v>
      </c>
      <c r="C194" s="4">
        <f>-IPMT('With Loan'!$D$41/12,'30% Down Amortization'!$A194,360,'With Loan'!$D$40,0,0)</f>
        <v>397.25826350217318</v>
      </c>
      <c r="D194" s="4">
        <f t="shared" si="5"/>
        <v>1077.7884491827506</v>
      </c>
      <c r="E194" s="3">
        <f t="shared" si="6"/>
        <v>145999.44403050633</v>
      </c>
    </row>
    <row r="195" spans="1:5" x14ac:dyDescent="0.25">
      <c r="A195">
        <v>192</v>
      </c>
      <c r="B195" s="4">
        <f>-PPMT('With Loan'!$D$41/12,'30% Down Amortization'!$A195,360,'With Loan'!$D$40,0,0)</f>
        <v>682.3732882667955</v>
      </c>
      <c r="C195" s="4">
        <f>-IPMT('With Loan'!$D$41/12,'30% Down Amortization'!$A195,360,'With Loan'!$D$40,0,0)</f>
        <v>395.41516091595491</v>
      </c>
      <c r="D195" s="4">
        <f t="shared" si="5"/>
        <v>1077.7884491827504</v>
      </c>
      <c r="E195" s="3">
        <f t="shared" si="6"/>
        <v>145317.07074223954</v>
      </c>
    </row>
    <row r="196" spans="1:5" x14ac:dyDescent="0.25">
      <c r="A196">
        <v>193</v>
      </c>
      <c r="B196" s="4">
        <f>-PPMT('With Loan'!$D$41/12,'30% Down Amortization'!$A196,360,'With Loan'!$D$40,0,0)</f>
        <v>684.22138258918483</v>
      </c>
      <c r="C196" s="4">
        <f>-IPMT('With Loan'!$D$41/12,'30% Down Amortization'!$A196,360,'With Loan'!$D$40,0,0)</f>
        <v>393.56706659356576</v>
      </c>
      <c r="D196" s="4">
        <f t="shared" si="5"/>
        <v>1077.7884491827506</v>
      </c>
      <c r="E196" s="3">
        <f t="shared" si="6"/>
        <v>144632.84935965034</v>
      </c>
    </row>
    <row r="197" spans="1:5" x14ac:dyDescent="0.25">
      <c r="A197">
        <v>194</v>
      </c>
      <c r="B197" s="4">
        <f>-PPMT('With Loan'!$D$41/12,'30% Down Amortization'!$A197,360,'With Loan'!$D$40,0,0)</f>
        <v>686.07448216703051</v>
      </c>
      <c r="C197" s="4">
        <f>-IPMT('With Loan'!$D$41/12,'30% Down Amortization'!$A197,360,'With Loan'!$D$40,0,0)</f>
        <v>391.71396701572007</v>
      </c>
      <c r="D197" s="4">
        <f t="shared" ref="D197:D260" si="7">B197+C197</f>
        <v>1077.7884491827506</v>
      </c>
      <c r="E197" s="3">
        <f t="shared" si="6"/>
        <v>143946.77487748332</v>
      </c>
    </row>
    <row r="198" spans="1:5" x14ac:dyDescent="0.25">
      <c r="A198">
        <v>195</v>
      </c>
      <c r="B198" s="4">
        <f>-PPMT('With Loan'!$D$41/12,'30% Down Amortization'!$A198,360,'With Loan'!$D$40,0,0)</f>
        <v>687.93260055623284</v>
      </c>
      <c r="C198" s="4">
        <f>-IPMT('With Loan'!$D$41/12,'30% Down Amortization'!$A198,360,'With Loan'!$D$40,0,0)</f>
        <v>389.85584862651763</v>
      </c>
      <c r="D198" s="4">
        <f t="shared" si="7"/>
        <v>1077.7884491827504</v>
      </c>
      <c r="E198" s="3">
        <f t="shared" si="6"/>
        <v>143258.84227692708</v>
      </c>
    </row>
    <row r="199" spans="1:5" x14ac:dyDescent="0.25">
      <c r="A199">
        <v>196</v>
      </c>
      <c r="B199" s="4">
        <f>-PPMT('With Loan'!$D$41/12,'30% Down Amortization'!$A199,360,'With Loan'!$D$40,0,0)</f>
        <v>689.79575134940603</v>
      </c>
      <c r="C199" s="4">
        <f>-IPMT('With Loan'!$D$41/12,'30% Down Amortization'!$A199,360,'With Loan'!$D$40,0,0)</f>
        <v>387.99269783334449</v>
      </c>
      <c r="D199" s="4">
        <f t="shared" si="7"/>
        <v>1077.7884491827506</v>
      </c>
      <c r="E199" s="3">
        <f t="shared" si="6"/>
        <v>142569.04652557767</v>
      </c>
    </row>
    <row r="200" spans="1:5" x14ac:dyDescent="0.25">
      <c r="A200">
        <v>197</v>
      </c>
      <c r="B200" s="4">
        <f>-PPMT('With Loan'!$D$41/12,'30% Down Amortization'!$A200,360,'With Loan'!$D$40,0,0)</f>
        <v>691.66394817597745</v>
      </c>
      <c r="C200" s="4">
        <f>-IPMT('With Loan'!$D$41/12,'30% Down Amortization'!$A200,360,'With Loan'!$D$40,0,0)</f>
        <v>386.12450100677319</v>
      </c>
      <c r="D200" s="4">
        <f t="shared" si="7"/>
        <v>1077.7884491827506</v>
      </c>
      <c r="E200" s="3">
        <f t="shared" si="6"/>
        <v>141877.3825774017</v>
      </c>
    </row>
    <row r="201" spans="1:5" x14ac:dyDescent="0.25">
      <c r="A201">
        <v>198</v>
      </c>
      <c r="B201" s="4">
        <f>-PPMT('With Loan'!$D$41/12,'30% Down Amortization'!$A201,360,'With Loan'!$D$40,0,0)</f>
        <v>693.53720470228723</v>
      </c>
      <c r="C201" s="4">
        <f>-IPMT('With Loan'!$D$41/12,'30% Down Amortization'!$A201,360,'With Loan'!$D$40,0,0)</f>
        <v>384.2512444804633</v>
      </c>
      <c r="D201" s="4">
        <f t="shared" si="7"/>
        <v>1077.7884491827506</v>
      </c>
      <c r="E201" s="3">
        <f t="shared" si="6"/>
        <v>141183.8453726994</v>
      </c>
    </row>
    <row r="202" spans="1:5" x14ac:dyDescent="0.25">
      <c r="A202">
        <v>199</v>
      </c>
      <c r="B202" s="4">
        <f>-PPMT('With Loan'!$D$41/12,'30% Down Amortization'!$A202,360,'With Loan'!$D$40,0,0)</f>
        <v>695.4155346316893</v>
      </c>
      <c r="C202" s="4">
        <f>-IPMT('With Loan'!$D$41/12,'30% Down Amortization'!$A202,360,'With Loan'!$D$40,0,0)</f>
        <v>382.37291455106123</v>
      </c>
      <c r="D202" s="4">
        <f t="shared" si="7"/>
        <v>1077.7884491827506</v>
      </c>
      <c r="E202" s="3">
        <f t="shared" si="6"/>
        <v>140488.42983806771</v>
      </c>
    </row>
    <row r="203" spans="1:5" x14ac:dyDescent="0.25">
      <c r="A203">
        <v>200</v>
      </c>
      <c r="B203" s="4">
        <f>-PPMT('With Loan'!$D$41/12,'30% Down Amortization'!$A203,360,'With Loan'!$D$40,0,0)</f>
        <v>697.29895170465011</v>
      </c>
      <c r="C203" s="4">
        <f>-IPMT('With Loan'!$D$41/12,'30% Down Amortization'!$A203,360,'With Loan'!$D$40,0,0)</f>
        <v>380.48949747810036</v>
      </c>
      <c r="D203" s="4">
        <f t="shared" si="7"/>
        <v>1077.7884491827504</v>
      </c>
      <c r="E203" s="3">
        <f t="shared" si="6"/>
        <v>139791.13088636307</v>
      </c>
    </row>
    <row r="204" spans="1:5" x14ac:dyDescent="0.25">
      <c r="A204">
        <v>201</v>
      </c>
      <c r="B204" s="4">
        <f>-PPMT('With Loan'!$D$41/12,'30% Down Amortization'!$A204,360,'With Loan'!$D$40,0,0)</f>
        <v>699.18746969885024</v>
      </c>
      <c r="C204" s="4">
        <f>-IPMT('With Loan'!$D$41/12,'30% Down Amortization'!$A204,360,'With Loan'!$D$40,0,0)</f>
        <v>378.60097948390029</v>
      </c>
      <c r="D204" s="4">
        <f t="shared" si="7"/>
        <v>1077.7884491827506</v>
      </c>
      <c r="E204" s="3">
        <f t="shared" si="6"/>
        <v>139091.94341666423</v>
      </c>
    </row>
    <row r="205" spans="1:5" x14ac:dyDescent="0.25">
      <c r="A205">
        <v>202</v>
      </c>
      <c r="B205" s="4">
        <f>-PPMT('With Loan'!$D$41/12,'30% Down Amortization'!$A205,360,'With Loan'!$D$40,0,0)</f>
        <v>701.08110242928456</v>
      </c>
      <c r="C205" s="4">
        <f>-IPMT('With Loan'!$D$41/12,'30% Down Amortization'!$A205,360,'With Loan'!$D$40,0,0)</f>
        <v>376.70734675346586</v>
      </c>
      <c r="D205" s="4">
        <f t="shared" si="7"/>
        <v>1077.7884491827504</v>
      </c>
      <c r="E205" s="3">
        <f t="shared" si="6"/>
        <v>138390.86231423495</v>
      </c>
    </row>
    <row r="206" spans="1:5" x14ac:dyDescent="0.25">
      <c r="A206">
        <v>203</v>
      </c>
      <c r="B206" s="4">
        <f>-PPMT('With Loan'!$D$41/12,'30% Down Amortization'!$A206,360,'With Loan'!$D$40,0,0)</f>
        <v>702.97986374836387</v>
      </c>
      <c r="C206" s="4">
        <f>-IPMT('With Loan'!$D$41/12,'30% Down Amortization'!$A206,360,'With Loan'!$D$40,0,0)</f>
        <v>374.80858543438666</v>
      </c>
      <c r="D206" s="4">
        <f t="shared" si="7"/>
        <v>1077.7884491827506</v>
      </c>
      <c r="E206" s="3">
        <f t="shared" si="6"/>
        <v>137687.88245048659</v>
      </c>
    </row>
    <row r="207" spans="1:5" x14ac:dyDescent="0.25">
      <c r="A207">
        <v>204</v>
      </c>
      <c r="B207" s="4">
        <f>-PPMT('With Loan'!$D$41/12,'30% Down Amortization'!$A207,360,'With Loan'!$D$40,0,0)</f>
        <v>704.88376754601563</v>
      </c>
      <c r="C207" s="4">
        <f>-IPMT('With Loan'!$D$41/12,'30% Down Amortization'!$A207,360,'With Loan'!$D$40,0,0)</f>
        <v>372.90468163673484</v>
      </c>
      <c r="D207" s="4">
        <f t="shared" si="7"/>
        <v>1077.7884491827504</v>
      </c>
      <c r="E207" s="3">
        <f t="shared" si="6"/>
        <v>136982.99868294058</v>
      </c>
    </row>
    <row r="208" spans="1:5" x14ac:dyDescent="0.25">
      <c r="A208">
        <v>205</v>
      </c>
      <c r="B208" s="4">
        <f>-PPMT('With Loan'!$D$41/12,'30% Down Amortization'!$A208,360,'With Loan'!$D$40,0,0)</f>
        <v>706.79282774978617</v>
      </c>
      <c r="C208" s="4">
        <f>-IPMT('With Loan'!$D$41/12,'30% Down Amortization'!$A208,360,'With Loan'!$D$40,0,0)</f>
        <v>370.9956214329643</v>
      </c>
      <c r="D208" s="4">
        <f t="shared" si="7"/>
        <v>1077.7884491827504</v>
      </c>
      <c r="E208" s="3">
        <f t="shared" si="6"/>
        <v>136276.20585519078</v>
      </c>
    </row>
    <row r="209" spans="1:5" x14ac:dyDescent="0.25">
      <c r="A209">
        <v>206</v>
      </c>
      <c r="B209" s="4">
        <f>-PPMT('With Loan'!$D$41/12,'30% Down Amortization'!$A209,360,'With Loan'!$D$40,0,0)</f>
        <v>708.70705832494195</v>
      </c>
      <c r="C209" s="4">
        <f>-IPMT('With Loan'!$D$41/12,'30% Down Amortization'!$A209,360,'With Loan'!$D$40,0,0)</f>
        <v>369.08139085780863</v>
      </c>
      <c r="D209" s="4">
        <f t="shared" si="7"/>
        <v>1077.7884491827506</v>
      </c>
      <c r="E209" s="3">
        <f t="shared" si="6"/>
        <v>135567.49879686584</v>
      </c>
    </row>
    <row r="210" spans="1:5" x14ac:dyDescent="0.25">
      <c r="A210">
        <v>207</v>
      </c>
      <c r="B210" s="4">
        <f>-PPMT('With Loan'!$D$41/12,'30% Down Amortization'!$A210,360,'With Loan'!$D$40,0,0)</f>
        <v>710.62647327457194</v>
      </c>
      <c r="C210" s="4">
        <f>-IPMT('With Loan'!$D$41/12,'30% Down Amortization'!$A210,360,'With Loan'!$D$40,0,0)</f>
        <v>367.16197590817859</v>
      </c>
      <c r="D210" s="4">
        <f t="shared" si="7"/>
        <v>1077.7884491827506</v>
      </c>
      <c r="E210" s="3">
        <f t="shared" si="6"/>
        <v>134856.87232359126</v>
      </c>
    </row>
    <row r="211" spans="1:5" x14ac:dyDescent="0.25">
      <c r="A211">
        <v>208</v>
      </c>
      <c r="B211" s="4">
        <f>-PPMT('With Loan'!$D$41/12,'30% Down Amortization'!$A211,360,'With Loan'!$D$40,0,0)</f>
        <v>712.55108663969054</v>
      </c>
      <c r="C211" s="4">
        <f>-IPMT('With Loan'!$D$41/12,'30% Down Amortization'!$A211,360,'With Loan'!$D$40,0,0)</f>
        <v>365.23736254305999</v>
      </c>
      <c r="D211" s="4">
        <f t="shared" si="7"/>
        <v>1077.7884491827506</v>
      </c>
      <c r="E211" s="3">
        <f t="shared" si="6"/>
        <v>134144.32123695157</v>
      </c>
    </row>
    <row r="212" spans="1:5" x14ac:dyDescent="0.25">
      <c r="A212">
        <v>209</v>
      </c>
      <c r="B212" s="4">
        <f>-PPMT('With Loan'!$D$41/12,'30% Down Amortization'!$A212,360,'With Loan'!$D$40,0,0)</f>
        <v>714.48091249933975</v>
      </c>
      <c r="C212" s="4">
        <f>-IPMT('With Loan'!$D$41/12,'30% Down Amortization'!$A212,360,'With Loan'!$D$40,0,0)</f>
        <v>363.30753668341083</v>
      </c>
      <c r="D212" s="4">
        <f t="shared" si="7"/>
        <v>1077.7884491827506</v>
      </c>
      <c r="E212" s="3">
        <f t="shared" si="6"/>
        <v>133429.84032445223</v>
      </c>
    </row>
    <row r="213" spans="1:5" x14ac:dyDescent="0.25">
      <c r="A213">
        <v>210</v>
      </c>
      <c r="B213" s="4">
        <f>-PPMT('With Loan'!$D$41/12,'30% Down Amortization'!$A213,360,'With Loan'!$D$40,0,0)</f>
        <v>716.41596497069213</v>
      </c>
      <c r="C213" s="4">
        <f>-IPMT('With Loan'!$D$41/12,'30% Down Amortization'!$A213,360,'With Loan'!$D$40,0,0)</f>
        <v>361.37248421205845</v>
      </c>
      <c r="D213" s="4">
        <f t="shared" si="7"/>
        <v>1077.7884491827506</v>
      </c>
      <c r="E213" s="3">
        <f t="shared" si="6"/>
        <v>132713.42435948155</v>
      </c>
    </row>
    <row r="214" spans="1:5" x14ac:dyDescent="0.25">
      <c r="A214">
        <v>211</v>
      </c>
      <c r="B214" s="4">
        <f>-PPMT('With Loan'!$D$41/12,'30% Down Amortization'!$A214,360,'With Loan'!$D$40,0,0)</f>
        <v>718.35625820915436</v>
      </c>
      <c r="C214" s="4">
        <f>-IPMT('With Loan'!$D$41/12,'30% Down Amortization'!$A214,360,'With Loan'!$D$40,0,0)</f>
        <v>359.43219097359611</v>
      </c>
      <c r="D214" s="4">
        <f t="shared" si="7"/>
        <v>1077.7884491827504</v>
      </c>
      <c r="E214" s="3">
        <f t="shared" si="6"/>
        <v>131995.06810127239</v>
      </c>
    </row>
    <row r="215" spans="1:5" x14ac:dyDescent="0.25">
      <c r="A215">
        <v>212</v>
      </c>
      <c r="B215" s="4">
        <f>-PPMT('With Loan'!$D$41/12,'30% Down Amortization'!$A215,360,'With Loan'!$D$40,0,0)</f>
        <v>720.30180640847084</v>
      </c>
      <c r="C215" s="4">
        <f>-IPMT('With Loan'!$D$41/12,'30% Down Amortization'!$A215,360,'With Loan'!$D$40,0,0)</f>
        <v>357.48664277427963</v>
      </c>
      <c r="D215" s="4">
        <f t="shared" si="7"/>
        <v>1077.7884491827504</v>
      </c>
      <c r="E215" s="3">
        <f t="shared" si="6"/>
        <v>131274.76629486392</v>
      </c>
    </row>
    <row r="216" spans="1:5" x14ac:dyDescent="0.25">
      <c r="A216">
        <v>213</v>
      </c>
      <c r="B216" s="4">
        <f>-PPMT('With Loan'!$D$41/12,'30% Down Amortization'!$A216,360,'With Loan'!$D$40,0,0)</f>
        <v>722.25262380082722</v>
      </c>
      <c r="C216" s="4">
        <f>-IPMT('With Loan'!$D$41/12,'30% Down Amortization'!$A216,360,'With Loan'!$D$40,0,0)</f>
        <v>355.53582538192342</v>
      </c>
      <c r="D216" s="4">
        <f t="shared" si="7"/>
        <v>1077.7884491827506</v>
      </c>
      <c r="E216" s="3">
        <f t="shared" si="6"/>
        <v>130552.51367106309</v>
      </c>
    </row>
    <row r="217" spans="1:5" x14ac:dyDescent="0.25">
      <c r="A217">
        <v>214</v>
      </c>
      <c r="B217" s="4">
        <f>-PPMT('With Loan'!$D$41/12,'30% Down Amortization'!$A217,360,'With Loan'!$D$40,0,0)</f>
        <v>724.20872465695436</v>
      </c>
      <c r="C217" s="4">
        <f>-IPMT('With Loan'!$D$41/12,'30% Down Amortization'!$A217,360,'With Loan'!$D$40,0,0)</f>
        <v>353.57972452579611</v>
      </c>
      <c r="D217" s="4">
        <f t="shared" si="7"/>
        <v>1077.7884491827504</v>
      </c>
      <c r="E217" s="3">
        <f t="shared" si="6"/>
        <v>129828.30494640613</v>
      </c>
    </row>
    <row r="218" spans="1:5" x14ac:dyDescent="0.25">
      <c r="A218">
        <v>215</v>
      </c>
      <c r="B218" s="4">
        <f>-PPMT('With Loan'!$D$41/12,'30% Down Amortization'!$A218,360,'With Loan'!$D$40,0,0)</f>
        <v>726.17012328623366</v>
      </c>
      <c r="C218" s="4">
        <f>-IPMT('With Loan'!$D$41/12,'30% Down Amortization'!$A218,360,'With Loan'!$D$40,0,0)</f>
        <v>351.61832589651692</v>
      </c>
      <c r="D218" s="4">
        <f t="shared" si="7"/>
        <v>1077.7884491827506</v>
      </c>
      <c r="E218" s="3">
        <f t="shared" si="6"/>
        <v>129102.13482311989</v>
      </c>
    </row>
    <row r="219" spans="1:5" x14ac:dyDescent="0.25">
      <c r="A219">
        <v>216</v>
      </c>
      <c r="B219" s="4">
        <f>-PPMT('With Loan'!$D$41/12,'30% Down Amortization'!$A219,360,'With Loan'!$D$40,0,0)</f>
        <v>728.13683403680056</v>
      </c>
      <c r="C219" s="4">
        <f>-IPMT('With Loan'!$D$41/12,'30% Down Amortization'!$A219,360,'With Loan'!$D$40,0,0)</f>
        <v>349.65161514595002</v>
      </c>
      <c r="D219" s="4">
        <f t="shared" si="7"/>
        <v>1077.7884491827506</v>
      </c>
      <c r="E219" s="3">
        <f t="shared" si="6"/>
        <v>128373.99798908309</v>
      </c>
    </row>
    <row r="220" spans="1:5" x14ac:dyDescent="0.25">
      <c r="A220">
        <v>217</v>
      </c>
      <c r="B220" s="4">
        <f>-PPMT('With Loan'!$D$41/12,'30% Down Amortization'!$A220,360,'With Loan'!$D$40,0,0)</f>
        <v>730.10887129565026</v>
      </c>
      <c r="C220" s="4">
        <f>-IPMT('With Loan'!$D$41/12,'30% Down Amortization'!$A220,360,'With Loan'!$D$40,0,0)</f>
        <v>347.67957788710027</v>
      </c>
      <c r="D220" s="4">
        <f t="shared" si="7"/>
        <v>1077.7884491827506</v>
      </c>
      <c r="E220" s="3">
        <f t="shared" si="6"/>
        <v>127643.88911778743</v>
      </c>
    </row>
    <row r="221" spans="1:5" x14ac:dyDescent="0.25">
      <c r="A221">
        <v>218</v>
      </c>
      <c r="B221" s="4">
        <f>-PPMT('With Loan'!$D$41/12,'30% Down Amortization'!$A221,360,'With Loan'!$D$40,0,0)</f>
        <v>732.08624948874262</v>
      </c>
      <c r="C221" s="4">
        <f>-IPMT('With Loan'!$D$41/12,'30% Down Amortization'!$A221,360,'With Loan'!$D$40,0,0)</f>
        <v>345.7021996940079</v>
      </c>
      <c r="D221" s="4">
        <f t="shared" si="7"/>
        <v>1077.7884491827506</v>
      </c>
      <c r="E221" s="3">
        <f t="shared" si="6"/>
        <v>126911.80286829869</v>
      </c>
    </row>
    <row r="222" spans="1:5" x14ac:dyDescent="0.25">
      <c r="A222">
        <v>219</v>
      </c>
      <c r="B222" s="4">
        <f>-PPMT('With Loan'!$D$41/12,'30% Down Amortization'!$A222,360,'With Loan'!$D$40,0,0)</f>
        <v>734.06898308110783</v>
      </c>
      <c r="C222" s="4">
        <f>-IPMT('With Loan'!$D$41/12,'30% Down Amortization'!$A222,360,'With Loan'!$D$40,0,0)</f>
        <v>343.71946610164258</v>
      </c>
      <c r="D222" s="4">
        <f t="shared" si="7"/>
        <v>1077.7884491827504</v>
      </c>
      <c r="E222" s="3">
        <f t="shared" si="6"/>
        <v>126177.73388521759</v>
      </c>
    </row>
    <row r="223" spans="1:5" x14ac:dyDescent="0.25">
      <c r="A223">
        <v>220</v>
      </c>
      <c r="B223" s="4">
        <f>-PPMT('With Loan'!$D$41/12,'30% Down Amortization'!$A223,360,'With Loan'!$D$40,0,0)</f>
        <v>736.05708657695266</v>
      </c>
      <c r="C223" s="4">
        <f>-IPMT('With Loan'!$D$41/12,'30% Down Amortization'!$A223,360,'With Loan'!$D$40,0,0)</f>
        <v>341.73136260579798</v>
      </c>
      <c r="D223" s="4">
        <f t="shared" si="7"/>
        <v>1077.7884491827506</v>
      </c>
      <c r="E223" s="3">
        <f t="shared" si="6"/>
        <v>125441.67679864063</v>
      </c>
    </row>
    <row r="224" spans="1:5" x14ac:dyDescent="0.25">
      <c r="A224">
        <v>221</v>
      </c>
      <c r="B224" s="4">
        <f>-PPMT('With Loan'!$D$41/12,'30% Down Amortization'!$A224,360,'With Loan'!$D$40,0,0)</f>
        <v>738.05057451976518</v>
      </c>
      <c r="C224" s="4">
        <f>-IPMT('With Loan'!$D$41/12,'30% Down Amortization'!$A224,360,'With Loan'!$D$40,0,0)</f>
        <v>339.73787466298535</v>
      </c>
      <c r="D224" s="4">
        <f t="shared" si="7"/>
        <v>1077.7884491827506</v>
      </c>
      <c r="E224" s="3">
        <f t="shared" si="6"/>
        <v>124703.62622412088</v>
      </c>
    </row>
    <row r="225" spans="1:5" x14ac:dyDescent="0.25">
      <c r="A225">
        <v>222</v>
      </c>
      <c r="B225" s="4">
        <f>-PPMT('With Loan'!$D$41/12,'30% Down Amortization'!$A225,360,'With Loan'!$D$40,0,0)</f>
        <v>740.04946149242278</v>
      </c>
      <c r="C225" s="4">
        <f>-IPMT('With Loan'!$D$41/12,'30% Down Amortization'!$A225,360,'With Loan'!$D$40,0,0)</f>
        <v>337.73898769032763</v>
      </c>
      <c r="D225" s="4">
        <f t="shared" si="7"/>
        <v>1077.7884491827504</v>
      </c>
      <c r="E225" s="3">
        <f t="shared" si="6"/>
        <v>123963.57676262845</v>
      </c>
    </row>
    <row r="226" spans="1:5" x14ac:dyDescent="0.25">
      <c r="A226">
        <v>223</v>
      </c>
      <c r="B226" s="4">
        <f>-PPMT('With Loan'!$D$41/12,'30% Down Amortization'!$A226,360,'With Loan'!$D$40,0,0)</f>
        <v>742.05376211729811</v>
      </c>
      <c r="C226" s="4">
        <f>-IPMT('With Loan'!$D$41/12,'30% Down Amortization'!$A226,360,'With Loan'!$D$40,0,0)</f>
        <v>335.73468706545242</v>
      </c>
      <c r="D226" s="4">
        <f t="shared" si="7"/>
        <v>1077.7884491827506</v>
      </c>
      <c r="E226" s="3">
        <f t="shared" ref="E226:E289" si="8">E225-B226</f>
        <v>123221.52300051115</v>
      </c>
    </row>
    <row r="227" spans="1:5" x14ac:dyDescent="0.25">
      <c r="A227">
        <v>224</v>
      </c>
      <c r="B227" s="4">
        <f>-PPMT('With Loan'!$D$41/12,'30% Down Amortization'!$A227,360,'With Loan'!$D$40,0,0)</f>
        <v>744.06349105636582</v>
      </c>
      <c r="C227" s="4">
        <f>-IPMT('With Loan'!$D$41/12,'30% Down Amortization'!$A227,360,'With Loan'!$D$40,0,0)</f>
        <v>333.72495812638471</v>
      </c>
      <c r="D227" s="4">
        <f t="shared" si="7"/>
        <v>1077.7884491827506</v>
      </c>
      <c r="E227" s="3">
        <f t="shared" si="8"/>
        <v>122477.45950945478</v>
      </c>
    </row>
    <row r="228" spans="1:5" x14ac:dyDescent="0.25">
      <c r="A228">
        <v>225</v>
      </c>
      <c r="B228" s="4">
        <f>-PPMT('With Loan'!$D$41/12,'30% Down Amortization'!$A228,360,'With Loan'!$D$40,0,0)</f>
        <v>746.07866301131014</v>
      </c>
      <c r="C228" s="4">
        <f>-IPMT('With Loan'!$D$41/12,'30% Down Amortization'!$A228,360,'With Loan'!$D$40,0,0)</f>
        <v>331.70978617144038</v>
      </c>
      <c r="D228" s="4">
        <f t="shared" si="7"/>
        <v>1077.7884491827506</v>
      </c>
      <c r="E228" s="3">
        <f t="shared" si="8"/>
        <v>121731.38084644347</v>
      </c>
    </row>
    <row r="229" spans="1:5" x14ac:dyDescent="0.25">
      <c r="A229">
        <v>226</v>
      </c>
      <c r="B229" s="4">
        <f>-PPMT('With Loan'!$D$41/12,'30% Down Amortization'!$A229,360,'With Loan'!$D$40,0,0)</f>
        <v>748.09929272363252</v>
      </c>
      <c r="C229" s="4">
        <f>-IPMT('With Loan'!$D$41/12,'30% Down Amortization'!$A229,360,'With Loan'!$D$40,0,0)</f>
        <v>329.68915645911807</v>
      </c>
      <c r="D229" s="4">
        <f t="shared" si="7"/>
        <v>1077.7884491827506</v>
      </c>
      <c r="E229" s="3">
        <f t="shared" si="8"/>
        <v>120983.28155371983</v>
      </c>
    </row>
    <row r="230" spans="1:5" x14ac:dyDescent="0.25">
      <c r="A230">
        <v>227</v>
      </c>
      <c r="B230" s="4">
        <f>-PPMT('With Loan'!$D$41/12,'30% Down Amortization'!$A230,360,'With Loan'!$D$40,0,0)</f>
        <v>750.12539497475905</v>
      </c>
      <c r="C230" s="4">
        <f>-IPMT('With Loan'!$D$41/12,'30% Down Amortization'!$A230,360,'With Loan'!$D$40,0,0)</f>
        <v>327.66305420799154</v>
      </c>
      <c r="D230" s="4">
        <f t="shared" si="7"/>
        <v>1077.7884491827506</v>
      </c>
      <c r="E230" s="3">
        <f t="shared" si="8"/>
        <v>120233.15615874507</v>
      </c>
    </row>
    <row r="231" spans="1:5" x14ac:dyDescent="0.25">
      <c r="A231">
        <v>228</v>
      </c>
      <c r="B231" s="4">
        <f>-PPMT('With Loan'!$D$41/12,'30% Down Amortization'!$A231,360,'With Loan'!$D$40,0,0)</f>
        <v>752.15698458614906</v>
      </c>
      <c r="C231" s="4">
        <f>-IPMT('With Loan'!$D$41/12,'30% Down Amortization'!$A231,360,'With Loan'!$D$40,0,0)</f>
        <v>325.63146459660163</v>
      </c>
      <c r="D231" s="4">
        <f t="shared" si="7"/>
        <v>1077.7884491827508</v>
      </c>
      <c r="E231" s="3">
        <f t="shared" si="8"/>
        <v>119480.99917415892</v>
      </c>
    </row>
    <row r="232" spans="1:5" x14ac:dyDescent="0.25">
      <c r="A232">
        <v>229</v>
      </c>
      <c r="B232" s="4">
        <f>-PPMT('With Loan'!$D$41/12,'30% Down Amortization'!$A232,360,'With Loan'!$D$40,0,0)</f>
        <v>754.19407641940313</v>
      </c>
      <c r="C232" s="4">
        <f>-IPMT('With Loan'!$D$41/12,'30% Down Amortization'!$A232,360,'With Loan'!$D$40,0,0)</f>
        <v>323.59437276334745</v>
      </c>
      <c r="D232" s="4">
        <f t="shared" si="7"/>
        <v>1077.7884491827506</v>
      </c>
      <c r="E232" s="3">
        <f t="shared" si="8"/>
        <v>118726.80509773952</v>
      </c>
    </row>
    <row r="233" spans="1:5" x14ac:dyDescent="0.25">
      <c r="A233">
        <v>230</v>
      </c>
      <c r="B233" s="4">
        <f>-PPMT('With Loan'!$D$41/12,'30% Down Amortization'!$A233,360,'With Loan'!$D$40,0,0)</f>
        <v>756.23668537637241</v>
      </c>
      <c r="C233" s="4">
        <f>-IPMT('With Loan'!$D$41/12,'30% Down Amortization'!$A233,360,'With Loan'!$D$40,0,0)</f>
        <v>321.55176380637829</v>
      </c>
      <c r="D233" s="4">
        <f t="shared" si="7"/>
        <v>1077.7884491827508</v>
      </c>
      <c r="E233" s="3">
        <f t="shared" si="8"/>
        <v>117970.56841236315</v>
      </c>
    </row>
    <row r="234" spans="1:5" x14ac:dyDescent="0.25">
      <c r="A234">
        <v>231</v>
      </c>
      <c r="B234" s="4">
        <f>-PPMT('With Loan'!$D$41/12,'30% Down Amortization'!$A234,360,'With Loan'!$D$40,0,0)</f>
        <v>758.28482639926665</v>
      </c>
      <c r="C234" s="4">
        <f>-IPMT('With Loan'!$D$41/12,'30% Down Amortization'!$A234,360,'With Loan'!$D$40,0,0)</f>
        <v>319.50362278348388</v>
      </c>
      <c r="D234" s="4">
        <f t="shared" si="7"/>
        <v>1077.7884491827506</v>
      </c>
      <c r="E234" s="3">
        <f t="shared" si="8"/>
        <v>117212.28358596389</v>
      </c>
    </row>
    <row r="235" spans="1:5" x14ac:dyDescent="0.25">
      <c r="A235">
        <v>232</v>
      </c>
      <c r="B235" s="4">
        <f>-PPMT('With Loan'!$D$41/12,'30% Down Amortization'!$A235,360,'With Loan'!$D$40,0,0)</f>
        <v>760.33851447076472</v>
      </c>
      <c r="C235" s="4">
        <f>-IPMT('With Loan'!$D$41/12,'30% Down Amortization'!$A235,360,'With Loan'!$D$40,0,0)</f>
        <v>317.44993471198586</v>
      </c>
      <c r="D235" s="4">
        <f t="shared" si="7"/>
        <v>1077.7884491827506</v>
      </c>
      <c r="E235" s="3">
        <f t="shared" si="8"/>
        <v>116451.94507149312</v>
      </c>
    </row>
    <row r="236" spans="1:5" x14ac:dyDescent="0.25">
      <c r="A236">
        <v>233</v>
      </c>
      <c r="B236" s="4">
        <f>-PPMT('With Loan'!$D$41/12,'30% Down Amortization'!$A236,360,'With Loan'!$D$40,0,0)</f>
        <v>762.39776461412305</v>
      </c>
      <c r="C236" s="4">
        <f>-IPMT('With Loan'!$D$41/12,'30% Down Amortization'!$A236,360,'With Loan'!$D$40,0,0)</f>
        <v>315.39068456862753</v>
      </c>
      <c r="D236" s="4">
        <f t="shared" si="7"/>
        <v>1077.7884491827506</v>
      </c>
      <c r="E236" s="3">
        <f t="shared" si="8"/>
        <v>115689.54730687899</v>
      </c>
    </row>
    <row r="237" spans="1:5" x14ac:dyDescent="0.25">
      <c r="A237">
        <v>234</v>
      </c>
      <c r="B237" s="4">
        <f>-PPMT('With Loan'!$D$41/12,'30% Down Amortization'!$A237,360,'With Loan'!$D$40,0,0)</f>
        <v>764.46259189328623</v>
      </c>
      <c r="C237" s="4">
        <f>-IPMT('With Loan'!$D$41/12,'30% Down Amortization'!$A237,360,'With Loan'!$D$40,0,0)</f>
        <v>313.3258572894643</v>
      </c>
      <c r="D237" s="4">
        <f t="shared" si="7"/>
        <v>1077.7884491827506</v>
      </c>
      <c r="E237" s="3">
        <f t="shared" si="8"/>
        <v>114925.0847149857</v>
      </c>
    </row>
    <row r="238" spans="1:5" x14ac:dyDescent="0.25">
      <c r="A238">
        <v>235</v>
      </c>
      <c r="B238" s="4">
        <f>-PPMT('With Loan'!$D$41/12,'30% Down Amortization'!$A238,360,'With Loan'!$D$40,0,0)</f>
        <v>766.5330114129971</v>
      </c>
      <c r="C238" s="4">
        <f>-IPMT('With Loan'!$D$41/12,'30% Down Amortization'!$A238,360,'With Loan'!$D$40,0,0)</f>
        <v>311.25543776975331</v>
      </c>
      <c r="D238" s="4">
        <f t="shared" si="7"/>
        <v>1077.7884491827504</v>
      </c>
      <c r="E238" s="3">
        <f t="shared" si="8"/>
        <v>114158.55170357271</v>
      </c>
    </row>
    <row r="239" spans="1:5" x14ac:dyDescent="0.25">
      <c r="A239">
        <v>236</v>
      </c>
      <c r="B239" s="4">
        <f>-PPMT('With Loan'!$D$41/12,'30% Down Amortization'!$A239,360,'With Loan'!$D$40,0,0)</f>
        <v>768.60903831890732</v>
      </c>
      <c r="C239" s="4">
        <f>-IPMT('With Loan'!$D$41/12,'30% Down Amortization'!$A239,360,'With Loan'!$D$40,0,0)</f>
        <v>309.17941086384309</v>
      </c>
      <c r="D239" s="4">
        <f t="shared" si="7"/>
        <v>1077.7884491827504</v>
      </c>
      <c r="E239" s="3">
        <f t="shared" si="8"/>
        <v>113389.94266525381</v>
      </c>
    </row>
    <row r="240" spans="1:5" x14ac:dyDescent="0.25">
      <c r="A240">
        <v>237</v>
      </c>
      <c r="B240" s="4">
        <f>-PPMT('With Loan'!$D$41/12,'30% Down Amortization'!$A240,360,'With Loan'!$D$40,0,0)</f>
        <v>770.69068779768781</v>
      </c>
      <c r="C240" s="4">
        <f>-IPMT('With Loan'!$D$41/12,'30% Down Amortization'!$A240,360,'With Loan'!$D$40,0,0)</f>
        <v>307.09776138506271</v>
      </c>
      <c r="D240" s="4">
        <f t="shared" si="7"/>
        <v>1077.7884491827506</v>
      </c>
      <c r="E240" s="3">
        <f t="shared" si="8"/>
        <v>112619.25197745612</v>
      </c>
    </row>
    <row r="241" spans="1:5" x14ac:dyDescent="0.25">
      <c r="A241">
        <v>238</v>
      </c>
      <c r="B241" s="4">
        <f>-PPMT('With Loan'!$D$41/12,'30% Down Amortization'!$A241,360,'With Loan'!$D$40,0,0)</f>
        <v>772.7779750771399</v>
      </c>
      <c r="C241" s="4">
        <f>-IPMT('With Loan'!$D$41/12,'30% Down Amortization'!$A241,360,'With Loan'!$D$40,0,0)</f>
        <v>305.01047410561068</v>
      </c>
      <c r="D241" s="4">
        <f t="shared" si="7"/>
        <v>1077.7884491827506</v>
      </c>
      <c r="E241" s="3">
        <f t="shared" si="8"/>
        <v>111846.47400237898</v>
      </c>
    </row>
    <row r="242" spans="1:5" x14ac:dyDescent="0.25">
      <c r="A242">
        <v>239</v>
      </c>
      <c r="B242" s="4">
        <f>-PPMT('With Loan'!$D$41/12,'30% Down Amortization'!$A242,360,'With Loan'!$D$40,0,0)</f>
        <v>774.87091542630708</v>
      </c>
      <c r="C242" s="4">
        <f>-IPMT('With Loan'!$D$41/12,'30% Down Amortization'!$A242,360,'With Loan'!$D$40,0,0)</f>
        <v>302.91753375644345</v>
      </c>
      <c r="D242" s="4">
        <f t="shared" si="7"/>
        <v>1077.7884491827506</v>
      </c>
      <c r="E242" s="3">
        <f t="shared" si="8"/>
        <v>111071.60308695267</v>
      </c>
    </row>
    <row r="243" spans="1:5" x14ac:dyDescent="0.25">
      <c r="A243">
        <v>240</v>
      </c>
      <c r="B243" s="4">
        <f>-PPMT('With Loan'!$D$41/12,'30% Down Amortization'!$A243,360,'With Loan'!$D$40,0,0)</f>
        <v>776.96952415558667</v>
      </c>
      <c r="C243" s="4">
        <f>-IPMT('With Loan'!$D$41/12,'30% Down Amortization'!$A243,360,'With Loan'!$D$40,0,0)</f>
        <v>300.8189250271638</v>
      </c>
      <c r="D243" s="4">
        <f t="shared" si="7"/>
        <v>1077.7884491827504</v>
      </c>
      <c r="E243" s="3">
        <f t="shared" si="8"/>
        <v>110294.63356279708</v>
      </c>
    </row>
    <row r="244" spans="1:5" x14ac:dyDescent="0.25">
      <c r="A244">
        <v>241</v>
      </c>
      <c r="B244" s="4">
        <f>-PPMT('With Loan'!$D$41/12,'30% Down Amortization'!$A244,360,'With Loan'!$D$40,0,0)</f>
        <v>779.07381661684144</v>
      </c>
      <c r="C244" s="4">
        <f>-IPMT('With Loan'!$D$41/12,'30% Down Amortization'!$A244,360,'With Loan'!$D$40,0,0)</f>
        <v>298.71463256590903</v>
      </c>
      <c r="D244" s="4">
        <f t="shared" si="7"/>
        <v>1077.7884491827504</v>
      </c>
      <c r="E244" s="3">
        <f t="shared" si="8"/>
        <v>109515.55974618024</v>
      </c>
    </row>
    <row r="245" spans="1:5" x14ac:dyDescent="0.25">
      <c r="A245">
        <v>242</v>
      </c>
      <c r="B245" s="4">
        <f>-PPMT('With Loan'!$D$41/12,'30% Down Amortization'!$A245,360,'With Loan'!$D$40,0,0)</f>
        <v>781.18380820351206</v>
      </c>
      <c r="C245" s="4">
        <f>-IPMT('With Loan'!$D$41/12,'30% Down Amortization'!$A245,360,'With Loan'!$D$40,0,0)</f>
        <v>296.60464097923852</v>
      </c>
      <c r="D245" s="4">
        <f t="shared" si="7"/>
        <v>1077.7884491827506</v>
      </c>
      <c r="E245" s="3">
        <f t="shared" si="8"/>
        <v>108734.37593797673</v>
      </c>
    </row>
    <row r="246" spans="1:5" x14ac:dyDescent="0.25">
      <c r="A246">
        <v>243</v>
      </c>
      <c r="B246" s="4">
        <f>-PPMT('With Loan'!$D$41/12,'30% Down Amortization'!$A246,360,'With Loan'!$D$40,0,0)</f>
        <v>783.29951435072985</v>
      </c>
      <c r="C246" s="4">
        <f>-IPMT('With Loan'!$D$41/12,'30% Down Amortization'!$A246,360,'With Loan'!$D$40,0,0)</f>
        <v>294.48893483202062</v>
      </c>
      <c r="D246" s="4">
        <f t="shared" si="7"/>
        <v>1077.7884491827504</v>
      </c>
      <c r="E246" s="3">
        <f t="shared" si="8"/>
        <v>107951.076423626</v>
      </c>
    </row>
    <row r="247" spans="1:5" x14ac:dyDescent="0.25">
      <c r="A247">
        <v>244</v>
      </c>
      <c r="B247" s="4">
        <f>-PPMT('With Loan'!$D$41/12,'30% Down Amortization'!$A247,360,'With Loan'!$D$40,0,0)</f>
        <v>785.42095053542982</v>
      </c>
      <c r="C247" s="4">
        <f>-IPMT('With Loan'!$D$41/12,'30% Down Amortization'!$A247,360,'With Loan'!$D$40,0,0)</f>
        <v>292.36749864732076</v>
      </c>
      <c r="D247" s="4">
        <f t="shared" si="7"/>
        <v>1077.7884491827506</v>
      </c>
      <c r="E247" s="3">
        <f t="shared" si="8"/>
        <v>107165.65547309058</v>
      </c>
    </row>
    <row r="248" spans="1:5" x14ac:dyDescent="0.25">
      <c r="A248">
        <v>245</v>
      </c>
      <c r="B248" s="4">
        <f>-PPMT('With Loan'!$D$41/12,'30% Down Amortization'!$A248,360,'With Loan'!$D$40,0,0)</f>
        <v>787.54813227646321</v>
      </c>
      <c r="C248" s="4">
        <f>-IPMT('With Loan'!$D$41/12,'30% Down Amortization'!$A248,360,'With Loan'!$D$40,0,0)</f>
        <v>290.24031690628732</v>
      </c>
      <c r="D248" s="4">
        <f t="shared" si="7"/>
        <v>1077.7884491827506</v>
      </c>
      <c r="E248" s="3">
        <f t="shared" si="8"/>
        <v>106378.10734081411</v>
      </c>
    </row>
    <row r="249" spans="1:5" x14ac:dyDescent="0.25">
      <c r="A249">
        <v>246</v>
      </c>
      <c r="B249" s="4">
        <f>-PPMT('With Loan'!$D$41/12,'30% Down Amortization'!$A249,360,'With Loan'!$D$40,0,0)</f>
        <v>789.68107513471193</v>
      </c>
      <c r="C249" s="4">
        <f>-IPMT('With Loan'!$D$41/12,'30% Down Amortization'!$A249,360,'With Loan'!$D$40,0,0)</f>
        <v>288.10737404803859</v>
      </c>
      <c r="D249" s="4">
        <f t="shared" si="7"/>
        <v>1077.7884491827506</v>
      </c>
      <c r="E249" s="3">
        <f t="shared" si="8"/>
        <v>105588.4262656794</v>
      </c>
    </row>
    <row r="250" spans="1:5" x14ac:dyDescent="0.25">
      <c r="A250">
        <v>247</v>
      </c>
      <c r="B250" s="4">
        <f>-PPMT('With Loan'!$D$41/12,'30% Down Amortization'!$A250,360,'With Loan'!$D$40,0,0)</f>
        <v>791.81979471320176</v>
      </c>
      <c r="C250" s="4">
        <f>-IPMT('With Loan'!$D$41/12,'30% Down Amortization'!$A250,360,'With Loan'!$D$40,0,0)</f>
        <v>285.96865446954877</v>
      </c>
      <c r="D250" s="4">
        <f t="shared" si="7"/>
        <v>1077.7884491827506</v>
      </c>
      <c r="E250" s="3">
        <f t="shared" si="8"/>
        <v>104796.6064709662</v>
      </c>
    </row>
    <row r="251" spans="1:5" x14ac:dyDescent="0.25">
      <c r="A251">
        <v>248</v>
      </c>
      <c r="B251" s="4">
        <f>-PPMT('With Loan'!$D$41/12,'30% Down Amortization'!$A251,360,'With Loan'!$D$40,0,0)</f>
        <v>793.96430665721675</v>
      </c>
      <c r="C251" s="4">
        <f>-IPMT('With Loan'!$D$41/12,'30% Down Amortization'!$A251,360,'With Loan'!$D$40,0,0)</f>
        <v>283.82414252553377</v>
      </c>
      <c r="D251" s="4">
        <f t="shared" si="7"/>
        <v>1077.7884491827506</v>
      </c>
      <c r="E251" s="3">
        <f t="shared" si="8"/>
        <v>104002.64216430899</v>
      </c>
    </row>
    <row r="252" spans="1:5" x14ac:dyDescent="0.25">
      <c r="A252">
        <v>249</v>
      </c>
      <c r="B252" s="4">
        <f>-PPMT('With Loan'!$D$41/12,'30% Down Amortization'!$A252,360,'With Loan'!$D$40,0,0)</f>
        <v>796.11462665441343</v>
      </c>
      <c r="C252" s="4">
        <f>-IPMT('With Loan'!$D$41/12,'30% Down Amortization'!$A252,360,'With Loan'!$D$40,0,0)</f>
        <v>281.67382252833721</v>
      </c>
      <c r="D252" s="4">
        <f t="shared" si="7"/>
        <v>1077.7884491827506</v>
      </c>
      <c r="E252" s="3">
        <f t="shared" si="8"/>
        <v>103206.52753765458</v>
      </c>
    </row>
    <row r="253" spans="1:5" x14ac:dyDescent="0.25">
      <c r="A253">
        <v>250</v>
      </c>
      <c r="B253" s="4">
        <f>-PPMT('With Loan'!$D$41/12,'30% Down Amortization'!$A253,360,'With Loan'!$D$40,0,0)</f>
        <v>798.2707704349358</v>
      </c>
      <c r="C253" s="4">
        <f>-IPMT('With Loan'!$D$41/12,'30% Down Amortization'!$A253,360,'With Loan'!$D$40,0,0)</f>
        <v>279.51767874781478</v>
      </c>
      <c r="D253" s="4">
        <f t="shared" si="7"/>
        <v>1077.7884491827506</v>
      </c>
      <c r="E253" s="3">
        <f t="shared" si="8"/>
        <v>102408.25676721965</v>
      </c>
    </row>
    <row r="254" spans="1:5" x14ac:dyDescent="0.25">
      <c r="A254">
        <v>251</v>
      </c>
      <c r="B254" s="4">
        <f>-PPMT('With Loan'!$D$41/12,'30% Down Amortization'!$A254,360,'With Loan'!$D$40,0,0)</f>
        <v>800.43275377153043</v>
      </c>
      <c r="C254" s="4">
        <f>-IPMT('With Loan'!$D$41/12,'30% Down Amortization'!$A254,360,'With Loan'!$D$40,0,0)</f>
        <v>277.35569541122021</v>
      </c>
      <c r="D254" s="4">
        <f t="shared" si="7"/>
        <v>1077.7884491827506</v>
      </c>
      <c r="E254" s="3">
        <f t="shared" si="8"/>
        <v>101607.82401344812</v>
      </c>
    </row>
    <row r="255" spans="1:5" x14ac:dyDescent="0.25">
      <c r="A255">
        <v>252</v>
      </c>
      <c r="B255" s="4">
        <f>-PPMT('With Loan'!$D$41/12,'30% Down Amortization'!$A255,360,'With Loan'!$D$40,0,0)</f>
        <v>802.6005924796616</v>
      </c>
      <c r="C255" s="4">
        <f>-IPMT('With Loan'!$D$41/12,'30% Down Amortization'!$A255,360,'With Loan'!$D$40,0,0)</f>
        <v>275.18785670308898</v>
      </c>
      <c r="D255" s="4">
        <f t="shared" si="7"/>
        <v>1077.7884491827506</v>
      </c>
      <c r="E255" s="3">
        <f t="shared" si="8"/>
        <v>100805.22342096845</v>
      </c>
    </row>
    <row r="256" spans="1:5" x14ac:dyDescent="0.25">
      <c r="A256">
        <v>253</v>
      </c>
      <c r="B256" s="4">
        <f>-PPMT('With Loan'!$D$41/12,'30% Down Amortization'!$A256,360,'With Loan'!$D$40,0,0)</f>
        <v>804.77430241762727</v>
      </c>
      <c r="C256" s="4">
        <f>-IPMT('With Loan'!$D$41/12,'30% Down Amortization'!$A256,360,'With Loan'!$D$40,0,0)</f>
        <v>273.0141467651232</v>
      </c>
      <c r="D256" s="4">
        <f t="shared" si="7"/>
        <v>1077.7884491827504</v>
      </c>
      <c r="E256" s="3">
        <f t="shared" si="8"/>
        <v>100000.44911855082</v>
      </c>
    </row>
    <row r="257" spans="1:5" x14ac:dyDescent="0.25">
      <c r="A257">
        <v>254</v>
      </c>
      <c r="B257" s="4">
        <f>-PPMT('With Loan'!$D$41/12,'30% Down Amortization'!$A257,360,'With Loan'!$D$40,0,0)</f>
        <v>806.95389948667514</v>
      </c>
      <c r="C257" s="4">
        <f>-IPMT('With Loan'!$D$41/12,'30% Down Amortization'!$A257,360,'With Loan'!$D$40,0,0)</f>
        <v>270.83454969607544</v>
      </c>
      <c r="D257" s="4">
        <f t="shared" si="7"/>
        <v>1077.7884491827506</v>
      </c>
      <c r="E257" s="3">
        <f t="shared" si="8"/>
        <v>99193.495219064149</v>
      </c>
    </row>
    <row r="258" spans="1:5" x14ac:dyDescent="0.25">
      <c r="A258">
        <v>255</v>
      </c>
      <c r="B258" s="4">
        <f>-PPMT('With Loan'!$D$41/12,'30% Down Amortization'!$A258,360,'With Loan'!$D$40,0,0)</f>
        <v>809.13939963111818</v>
      </c>
      <c r="C258" s="4">
        <f>-IPMT('With Loan'!$D$41/12,'30% Down Amortization'!$A258,360,'With Loan'!$D$40,0,0)</f>
        <v>268.6490495516324</v>
      </c>
      <c r="D258" s="4">
        <f t="shared" si="7"/>
        <v>1077.7884491827506</v>
      </c>
      <c r="E258" s="3">
        <f t="shared" si="8"/>
        <v>98384.355819433025</v>
      </c>
    </row>
    <row r="259" spans="1:5" x14ac:dyDescent="0.25">
      <c r="A259">
        <v>256</v>
      </c>
      <c r="B259" s="4">
        <f>-PPMT('With Loan'!$D$41/12,'30% Down Amortization'!$A259,360,'With Loan'!$D$40,0,0)</f>
        <v>811.33081883845239</v>
      </c>
      <c r="C259" s="4">
        <f>-IPMT('With Loan'!$D$41/12,'30% Down Amortization'!$A259,360,'With Loan'!$D$40,0,0)</f>
        <v>266.45763034429808</v>
      </c>
      <c r="D259" s="4">
        <f t="shared" si="7"/>
        <v>1077.7884491827504</v>
      </c>
      <c r="E259" s="3">
        <f t="shared" si="8"/>
        <v>97573.025000594571</v>
      </c>
    </row>
    <row r="260" spans="1:5" x14ac:dyDescent="0.25">
      <c r="A260">
        <v>257</v>
      </c>
      <c r="B260" s="4">
        <f>-PPMT('With Loan'!$D$41/12,'30% Down Amortization'!$A260,360,'With Loan'!$D$40,0,0)</f>
        <v>813.5281731394731</v>
      </c>
      <c r="C260" s="4">
        <f>-IPMT('With Loan'!$D$41/12,'30% Down Amortization'!$A260,360,'With Loan'!$D$40,0,0)</f>
        <v>264.26027604327732</v>
      </c>
      <c r="D260" s="4">
        <f t="shared" si="7"/>
        <v>1077.7884491827504</v>
      </c>
      <c r="E260" s="3">
        <f t="shared" si="8"/>
        <v>96759.496827455092</v>
      </c>
    </row>
    <row r="261" spans="1:5" x14ac:dyDescent="0.25">
      <c r="A261">
        <v>258</v>
      </c>
      <c r="B261" s="4">
        <f>-PPMT('With Loan'!$D$41/12,'30% Down Amortization'!$A261,360,'With Loan'!$D$40,0,0)</f>
        <v>815.73147860839276</v>
      </c>
      <c r="C261" s="4">
        <f>-IPMT('With Loan'!$D$41/12,'30% Down Amortization'!$A261,360,'With Loan'!$D$40,0,0)</f>
        <v>262.05697057435788</v>
      </c>
      <c r="D261" s="4">
        <f t="shared" ref="D261:D324" si="9">B261+C261</f>
        <v>1077.7884491827506</v>
      </c>
      <c r="E261" s="3">
        <f t="shared" si="8"/>
        <v>95943.765348846704</v>
      </c>
    </row>
    <row r="262" spans="1:5" x14ac:dyDescent="0.25">
      <c r="A262">
        <v>259</v>
      </c>
      <c r="B262" s="4">
        <f>-PPMT('With Loan'!$D$41/12,'30% Down Amortization'!$A262,360,'With Loan'!$D$40,0,0)</f>
        <v>817.94075136295692</v>
      </c>
      <c r="C262" s="4">
        <f>-IPMT('With Loan'!$D$41/12,'30% Down Amortization'!$A262,360,'With Loan'!$D$40,0,0)</f>
        <v>259.8476978197935</v>
      </c>
      <c r="D262" s="4">
        <f t="shared" si="9"/>
        <v>1077.7884491827504</v>
      </c>
      <c r="E262" s="3">
        <f t="shared" si="8"/>
        <v>95125.824597483748</v>
      </c>
    </row>
    <row r="263" spans="1:5" x14ac:dyDescent="0.25">
      <c r="A263">
        <v>260</v>
      </c>
      <c r="B263" s="4">
        <f>-PPMT('With Loan'!$D$41/12,'30% Down Amortization'!$A263,360,'With Loan'!$D$40,0,0)</f>
        <v>820.15600756456513</v>
      </c>
      <c r="C263" s="4">
        <f>-IPMT('With Loan'!$D$41/12,'30% Down Amortization'!$A263,360,'With Loan'!$D$40,0,0)</f>
        <v>257.63244161818551</v>
      </c>
      <c r="D263" s="4">
        <f t="shared" si="9"/>
        <v>1077.7884491827506</v>
      </c>
      <c r="E263" s="3">
        <f t="shared" si="8"/>
        <v>94305.66858991918</v>
      </c>
    </row>
    <row r="264" spans="1:5" x14ac:dyDescent="0.25">
      <c r="A264">
        <v>261</v>
      </c>
      <c r="B264" s="4">
        <f>-PPMT('With Loan'!$D$41/12,'30% Down Amortization'!$A264,360,'With Loan'!$D$40,0,0)</f>
        <v>822.37726341838584</v>
      </c>
      <c r="C264" s="4">
        <f>-IPMT('With Loan'!$D$41/12,'30% Down Amortization'!$A264,360,'With Loan'!$D$40,0,0)</f>
        <v>255.41118576436472</v>
      </c>
      <c r="D264" s="4">
        <f t="shared" si="9"/>
        <v>1077.7884491827506</v>
      </c>
      <c r="E264" s="3">
        <f t="shared" si="8"/>
        <v>93483.291326500796</v>
      </c>
    </row>
    <row r="265" spans="1:5" x14ac:dyDescent="0.25">
      <c r="A265">
        <v>262</v>
      </c>
      <c r="B265" s="4">
        <f>-PPMT('With Loan'!$D$41/12,'30% Down Amortization'!$A265,360,'With Loan'!$D$40,0,0)</f>
        <v>824.60453517347719</v>
      </c>
      <c r="C265" s="4">
        <f>-IPMT('With Loan'!$D$41/12,'30% Down Amortization'!$A265,360,'With Loan'!$D$40,0,0)</f>
        <v>253.18391400927334</v>
      </c>
      <c r="D265" s="4">
        <f t="shared" si="9"/>
        <v>1077.7884491827506</v>
      </c>
      <c r="E265" s="3">
        <f t="shared" si="8"/>
        <v>92658.686791327316</v>
      </c>
    </row>
    <row r="266" spans="1:5" x14ac:dyDescent="0.25">
      <c r="A266">
        <v>263</v>
      </c>
      <c r="B266" s="4">
        <f>-PPMT('With Loan'!$D$41/12,'30% Down Amortization'!$A266,360,'With Loan'!$D$40,0,0)</f>
        <v>826.83783912290539</v>
      </c>
      <c r="C266" s="4">
        <f>-IPMT('With Loan'!$D$41/12,'30% Down Amortization'!$A266,360,'With Loan'!$D$40,0,0)</f>
        <v>250.95061005984513</v>
      </c>
      <c r="D266" s="4">
        <f t="shared" si="9"/>
        <v>1077.7884491827506</v>
      </c>
      <c r="E266" s="3">
        <f t="shared" si="8"/>
        <v>91831.848952204411</v>
      </c>
    </row>
    <row r="267" spans="1:5" x14ac:dyDescent="0.25">
      <c r="A267">
        <v>264</v>
      </c>
      <c r="B267" s="4">
        <f>-PPMT('With Loan'!$D$41/12,'30% Down Amortization'!$A267,360,'With Loan'!$D$40,0,0)</f>
        <v>829.0771916038633</v>
      </c>
      <c r="C267" s="4">
        <f>-IPMT('With Loan'!$D$41/12,'30% Down Amortization'!$A267,360,'With Loan'!$D$40,0,0)</f>
        <v>248.71125757888726</v>
      </c>
      <c r="D267" s="4">
        <f t="shared" si="9"/>
        <v>1077.7884491827506</v>
      </c>
      <c r="E267" s="3">
        <f t="shared" si="8"/>
        <v>91002.771760600546</v>
      </c>
    </row>
    <row r="268" spans="1:5" x14ac:dyDescent="0.25">
      <c r="A268">
        <v>265</v>
      </c>
      <c r="B268" s="4">
        <f>-PPMT('With Loan'!$D$41/12,'30% Down Amortization'!$A268,360,'With Loan'!$D$40,0,0)</f>
        <v>831.32260899779033</v>
      </c>
      <c r="C268" s="4">
        <f>-IPMT('With Loan'!$D$41/12,'30% Down Amortization'!$A268,360,'With Loan'!$D$40,0,0)</f>
        <v>246.46584018496023</v>
      </c>
      <c r="D268" s="4">
        <f t="shared" si="9"/>
        <v>1077.7884491827506</v>
      </c>
      <c r="E268" s="3">
        <f t="shared" si="8"/>
        <v>90171.449151602763</v>
      </c>
    </row>
    <row r="269" spans="1:5" x14ac:dyDescent="0.25">
      <c r="A269">
        <v>266</v>
      </c>
      <c r="B269" s="4">
        <f>-PPMT('With Loan'!$D$41/12,'30% Down Amortization'!$A269,360,'With Loan'!$D$40,0,0)</f>
        <v>833.57410773049276</v>
      </c>
      <c r="C269" s="4">
        <f>-IPMT('With Loan'!$D$41/12,'30% Down Amortization'!$A269,360,'With Loan'!$D$40,0,0)</f>
        <v>244.21434145225786</v>
      </c>
      <c r="D269" s="4">
        <f t="shared" si="9"/>
        <v>1077.7884491827506</v>
      </c>
      <c r="E269" s="3">
        <f t="shared" si="8"/>
        <v>89337.875043872264</v>
      </c>
    </row>
    <row r="270" spans="1:5" x14ac:dyDescent="0.25">
      <c r="A270">
        <v>267</v>
      </c>
      <c r="B270" s="4">
        <f>-PPMT('With Loan'!$D$41/12,'30% Down Amortization'!$A270,360,'With Loan'!$D$40,0,0)</f>
        <v>835.83170427226275</v>
      </c>
      <c r="C270" s="4">
        <f>-IPMT('With Loan'!$D$41/12,'30% Down Amortization'!$A270,360,'With Loan'!$D$40,0,0)</f>
        <v>241.95674491048774</v>
      </c>
      <c r="D270" s="4">
        <f t="shared" si="9"/>
        <v>1077.7884491827506</v>
      </c>
      <c r="E270" s="3">
        <f t="shared" si="8"/>
        <v>88502.043339600001</v>
      </c>
    </row>
    <row r="271" spans="1:5" x14ac:dyDescent="0.25">
      <c r="A271">
        <v>268</v>
      </c>
      <c r="B271" s="4">
        <f>-PPMT('With Loan'!$D$41/12,'30% Down Amortization'!$A271,360,'With Loan'!$D$40,0,0)</f>
        <v>838.09541513800013</v>
      </c>
      <c r="C271" s="4">
        <f>-IPMT('With Loan'!$D$41/12,'30% Down Amortization'!$A271,360,'With Loan'!$D$40,0,0)</f>
        <v>239.69303404475033</v>
      </c>
      <c r="D271" s="4">
        <f t="shared" si="9"/>
        <v>1077.7884491827504</v>
      </c>
      <c r="E271" s="3">
        <f t="shared" si="8"/>
        <v>87663.947924462002</v>
      </c>
    </row>
    <row r="272" spans="1:5" x14ac:dyDescent="0.25">
      <c r="A272">
        <v>269</v>
      </c>
      <c r="B272" s="4">
        <f>-PPMT('With Loan'!$D$41/12,'30% Down Amortization'!$A272,360,'With Loan'!$D$40,0,0)</f>
        <v>840.36525688733218</v>
      </c>
      <c r="C272" s="4">
        <f>-IPMT('With Loan'!$D$41/12,'30% Down Amortization'!$A272,360,'With Loan'!$D$40,0,0)</f>
        <v>237.42319229541823</v>
      </c>
      <c r="D272" s="4">
        <f t="shared" si="9"/>
        <v>1077.7884491827504</v>
      </c>
      <c r="E272" s="3">
        <f t="shared" si="8"/>
        <v>86823.582667574665</v>
      </c>
    </row>
    <row r="273" spans="1:5" x14ac:dyDescent="0.25">
      <c r="A273">
        <v>270</v>
      </c>
      <c r="B273" s="4">
        <f>-PPMT('With Loan'!$D$41/12,'30% Down Amortization'!$A273,360,'With Loan'!$D$40,0,0)</f>
        <v>842.6412461247354</v>
      </c>
      <c r="C273" s="4">
        <f>-IPMT('With Loan'!$D$41/12,'30% Down Amortization'!$A273,360,'With Loan'!$D$40,0,0)</f>
        <v>235.14720305801504</v>
      </c>
      <c r="D273" s="4">
        <f t="shared" si="9"/>
        <v>1077.7884491827504</v>
      </c>
      <c r="E273" s="3">
        <f t="shared" si="8"/>
        <v>85980.941421449927</v>
      </c>
    </row>
    <row r="274" spans="1:5" x14ac:dyDescent="0.25">
      <c r="A274">
        <v>271</v>
      </c>
      <c r="B274" s="4">
        <f>-PPMT('With Loan'!$D$41/12,'30% Down Amortization'!$A274,360,'With Loan'!$D$40,0,0)</f>
        <v>844.92339949965663</v>
      </c>
      <c r="C274" s="4">
        <f>-IPMT('With Loan'!$D$41/12,'30% Down Amortization'!$A274,360,'With Loan'!$D$40,0,0)</f>
        <v>232.8650496830939</v>
      </c>
      <c r="D274" s="4">
        <f t="shared" si="9"/>
        <v>1077.7884491827506</v>
      </c>
      <c r="E274" s="3">
        <f t="shared" si="8"/>
        <v>85136.018021950265</v>
      </c>
    </row>
    <row r="275" spans="1:5" x14ac:dyDescent="0.25">
      <c r="A275">
        <v>272</v>
      </c>
      <c r="B275" s="4">
        <f>-PPMT('With Loan'!$D$41/12,'30% Down Amortization'!$A275,360,'With Loan'!$D$40,0,0)</f>
        <v>847.21173370663496</v>
      </c>
      <c r="C275" s="4">
        <f>-IPMT('With Loan'!$D$41/12,'30% Down Amortization'!$A275,360,'With Loan'!$D$40,0,0)</f>
        <v>230.57671547611571</v>
      </c>
      <c r="D275" s="4">
        <f t="shared" si="9"/>
        <v>1077.7884491827506</v>
      </c>
      <c r="E275" s="3">
        <f t="shared" si="8"/>
        <v>84288.806288243635</v>
      </c>
    </row>
    <row r="276" spans="1:5" x14ac:dyDescent="0.25">
      <c r="A276">
        <v>273</v>
      </c>
      <c r="B276" s="4">
        <f>-PPMT('With Loan'!$D$41/12,'30% Down Amortization'!$A276,360,'With Loan'!$D$40,0,0)</f>
        <v>849.50626548542368</v>
      </c>
      <c r="C276" s="4">
        <f>-IPMT('With Loan'!$D$41/12,'30% Down Amortization'!$A276,360,'With Loan'!$D$40,0,0)</f>
        <v>228.28218369732687</v>
      </c>
      <c r="D276" s="4">
        <f t="shared" si="9"/>
        <v>1077.7884491827506</v>
      </c>
      <c r="E276" s="3">
        <f t="shared" si="8"/>
        <v>83439.300022758209</v>
      </c>
    </row>
    <row r="277" spans="1:5" x14ac:dyDescent="0.25">
      <c r="A277">
        <v>274</v>
      </c>
      <c r="B277" s="4">
        <f>-PPMT('With Loan'!$D$41/12,'30% Down Amortization'!$A277,360,'With Loan'!$D$40,0,0)</f>
        <v>851.80701162111347</v>
      </c>
      <c r="C277" s="4">
        <f>-IPMT('With Loan'!$D$41/12,'30% Down Amortization'!$A277,360,'With Loan'!$D$40,0,0)</f>
        <v>225.98143756163716</v>
      </c>
      <c r="D277" s="4">
        <f t="shared" si="9"/>
        <v>1077.7884491827506</v>
      </c>
      <c r="E277" s="3">
        <f t="shared" si="8"/>
        <v>82587.493011137092</v>
      </c>
    </row>
    <row r="278" spans="1:5" x14ac:dyDescent="0.25">
      <c r="A278">
        <v>275</v>
      </c>
      <c r="B278" s="4">
        <f>-PPMT('With Loan'!$D$41/12,'30% Down Amortization'!$A278,360,'With Loan'!$D$40,0,0)</f>
        <v>854.11398894425383</v>
      </c>
      <c r="C278" s="4">
        <f>-IPMT('With Loan'!$D$41/12,'30% Down Amortization'!$A278,360,'With Loan'!$D$40,0,0)</f>
        <v>223.67446023849666</v>
      </c>
      <c r="D278" s="4">
        <f t="shared" si="9"/>
        <v>1077.7884491827506</v>
      </c>
      <c r="E278" s="3">
        <f t="shared" si="8"/>
        <v>81733.379022192836</v>
      </c>
    </row>
    <row r="279" spans="1:5" x14ac:dyDescent="0.25">
      <c r="A279">
        <v>276</v>
      </c>
      <c r="B279" s="4">
        <f>-PPMT('With Loan'!$D$41/12,'30% Down Amortization'!$A279,360,'With Loan'!$D$40,0,0)</f>
        <v>856.4272143309779</v>
      </c>
      <c r="C279" s="4">
        <f>-IPMT('With Loan'!$D$41/12,'30% Down Amortization'!$A279,360,'With Loan'!$D$40,0,0)</f>
        <v>221.36123485177262</v>
      </c>
      <c r="D279" s="4">
        <f t="shared" si="9"/>
        <v>1077.7884491827506</v>
      </c>
      <c r="E279" s="3">
        <f t="shared" si="8"/>
        <v>80876.951807861857</v>
      </c>
    </row>
    <row r="280" spans="1:5" x14ac:dyDescent="0.25">
      <c r="A280">
        <v>277</v>
      </c>
      <c r="B280" s="4">
        <f>-PPMT('With Loan'!$D$41/12,'30% Down Amortization'!$A280,360,'With Loan'!$D$40,0,0)</f>
        <v>858.74670470312435</v>
      </c>
      <c r="C280" s="4">
        <f>-IPMT('With Loan'!$D$41/12,'30% Down Amortization'!$A280,360,'With Loan'!$D$40,0,0)</f>
        <v>219.04174447962626</v>
      </c>
      <c r="D280" s="4">
        <f t="shared" si="9"/>
        <v>1077.7884491827506</v>
      </c>
      <c r="E280" s="3">
        <f t="shared" si="8"/>
        <v>80018.205103158733</v>
      </c>
    </row>
    <row r="281" spans="1:5" x14ac:dyDescent="0.25">
      <c r="A281">
        <v>278</v>
      </c>
      <c r="B281" s="4">
        <f>-PPMT('With Loan'!$D$41/12,'30% Down Amortization'!$A281,360,'With Loan'!$D$40,0,0)</f>
        <v>861.07247702836185</v>
      </c>
      <c r="C281" s="4">
        <f>-IPMT('With Loan'!$D$41/12,'30% Down Amortization'!$A281,360,'With Loan'!$D$40,0,0)</f>
        <v>216.71597215438862</v>
      </c>
      <c r="D281" s="4">
        <f t="shared" si="9"/>
        <v>1077.7884491827504</v>
      </c>
      <c r="E281" s="3">
        <f t="shared" si="8"/>
        <v>79157.132626130377</v>
      </c>
    </row>
    <row r="282" spans="1:5" x14ac:dyDescent="0.25">
      <c r="A282">
        <v>279</v>
      </c>
      <c r="B282" s="4">
        <f>-PPMT('With Loan'!$D$41/12,'30% Down Amortization'!$A282,360,'With Loan'!$D$40,0,0)</f>
        <v>863.40454832031378</v>
      </c>
      <c r="C282" s="4">
        <f>-IPMT('With Loan'!$D$41/12,'30% Down Amortization'!$A282,360,'With Loan'!$D$40,0,0)</f>
        <v>214.3839008624368</v>
      </c>
      <c r="D282" s="4">
        <f t="shared" si="9"/>
        <v>1077.7884491827506</v>
      </c>
      <c r="E282" s="3">
        <f t="shared" si="8"/>
        <v>78293.728077810068</v>
      </c>
    </row>
    <row r="283" spans="1:5" x14ac:dyDescent="0.25">
      <c r="A283">
        <v>280</v>
      </c>
      <c r="B283" s="4">
        <f>-PPMT('With Loan'!$D$41/12,'30% Down Amortization'!$A283,360,'With Loan'!$D$40,0,0)</f>
        <v>865.74293563868127</v>
      </c>
      <c r="C283" s="4">
        <f>-IPMT('With Loan'!$D$41/12,'30% Down Amortization'!$A283,360,'With Loan'!$D$40,0,0)</f>
        <v>212.04551354406931</v>
      </c>
      <c r="D283" s="4">
        <f t="shared" si="9"/>
        <v>1077.7884491827506</v>
      </c>
      <c r="E283" s="3">
        <f t="shared" si="8"/>
        <v>77427.985142171383</v>
      </c>
    </row>
    <row r="284" spans="1:5" x14ac:dyDescent="0.25">
      <c r="A284">
        <v>281</v>
      </c>
      <c r="B284" s="4">
        <f>-PPMT('With Loan'!$D$41/12,'30% Down Amortization'!$A284,360,'With Loan'!$D$40,0,0)</f>
        <v>868.08765608936937</v>
      </c>
      <c r="C284" s="4">
        <f>-IPMT('With Loan'!$D$41/12,'30% Down Amortization'!$A284,360,'With Loan'!$D$40,0,0)</f>
        <v>209.70079309338115</v>
      </c>
      <c r="D284" s="4">
        <f t="shared" si="9"/>
        <v>1077.7884491827506</v>
      </c>
      <c r="E284" s="3">
        <f t="shared" si="8"/>
        <v>76559.897486082016</v>
      </c>
    </row>
    <row r="285" spans="1:5" x14ac:dyDescent="0.25">
      <c r="A285">
        <v>282</v>
      </c>
      <c r="B285" s="4">
        <f>-PPMT('With Loan'!$D$41/12,'30% Down Amortization'!$A285,360,'With Loan'!$D$40,0,0)</f>
        <v>870.43872682461131</v>
      </c>
      <c r="C285" s="4">
        <f>-IPMT('With Loan'!$D$41/12,'30% Down Amortization'!$A285,360,'With Loan'!$D$40,0,0)</f>
        <v>207.34972235813916</v>
      </c>
      <c r="D285" s="4">
        <f t="shared" si="9"/>
        <v>1077.7884491827504</v>
      </c>
      <c r="E285" s="3">
        <f t="shared" si="8"/>
        <v>75689.45875925741</v>
      </c>
    </row>
    <row r="286" spans="1:5" x14ac:dyDescent="0.25">
      <c r="A286">
        <v>283</v>
      </c>
      <c r="B286" s="4">
        <f>-PPMT('With Loan'!$D$41/12,'30% Down Amortization'!$A286,360,'With Loan'!$D$40,0,0)</f>
        <v>872.79616504309479</v>
      </c>
      <c r="C286" s="4">
        <f>-IPMT('With Loan'!$D$41/12,'30% Down Amortization'!$A286,360,'With Loan'!$D$40,0,0)</f>
        <v>204.99228413965579</v>
      </c>
      <c r="D286" s="4">
        <f t="shared" si="9"/>
        <v>1077.7884491827506</v>
      </c>
      <c r="E286" s="3">
        <f t="shared" si="8"/>
        <v>74816.662594214315</v>
      </c>
    </row>
    <row r="287" spans="1:5" x14ac:dyDescent="0.25">
      <c r="A287">
        <v>284</v>
      </c>
      <c r="B287" s="4">
        <f>-PPMT('With Loan'!$D$41/12,'30% Down Amortization'!$A287,360,'With Loan'!$D$40,0,0)</f>
        <v>875.15998799008639</v>
      </c>
      <c r="C287" s="4">
        <f>-IPMT('With Loan'!$D$41/12,'30% Down Amortization'!$A287,360,'With Loan'!$D$40,0,0)</f>
        <v>202.62846119266416</v>
      </c>
      <c r="D287" s="4">
        <f t="shared" si="9"/>
        <v>1077.7884491827506</v>
      </c>
      <c r="E287" s="3">
        <f t="shared" si="8"/>
        <v>73941.502606224225</v>
      </c>
    </row>
    <row r="288" spans="1:5" x14ac:dyDescent="0.25">
      <c r="A288">
        <v>285</v>
      </c>
      <c r="B288" s="4">
        <f>-PPMT('With Loan'!$D$41/12,'30% Down Amortization'!$A288,360,'With Loan'!$D$40,0,0)</f>
        <v>877.53021295755946</v>
      </c>
      <c r="C288" s="4">
        <f>-IPMT('With Loan'!$D$41/12,'30% Down Amortization'!$A288,360,'With Loan'!$D$40,0,0)</f>
        <v>200.25823622519098</v>
      </c>
      <c r="D288" s="4">
        <f t="shared" si="9"/>
        <v>1077.7884491827504</v>
      </c>
      <c r="E288" s="3">
        <f t="shared" si="8"/>
        <v>73063.972393266667</v>
      </c>
    </row>
    <row r="289" spans="1:5" x14ac:dyDescent="0.25">
      <c r="A289">
        <v>286</v>
      </c>
      <c r="B289" s="4">
        <f>-PPMT('With Loan'!$D$41/12,'30% Down Amortization'!$A289,360,'With Loan'!$D$40,0,0)</f>
        <v>879.90685728431959</v>
      </c>
      <c r="C289" s="4">
        <f>-IPMT('With Loan'!$D$41/12,'30% Down Amortization'!$A289,360,'With Loan'!$D$40,0,0)</f>
        <v>197.88159189843091</v>
      </c>
      <c r="D289" s="4">
        <f t="shared" si="9"/>
        <v>1077.7884491827506</v>
      </c>
      <c r="E289" s="3">
        <f t="shared" si="8"/>
        <v>72184.065535982343</v>
      </c>
    </row>
    <row r="290" spans="1:5" x14ac:dyDescent="0.25">
      <c r="A290">
        <v>287</v>
      </c>
      <c r="B290" s="4">
        <f>-PPMT('With Loan'!$D$41/12,'30% Down Amortization'!$A290,360,'With Loan'!$D$40,0,0)</f>
        <v>882.2899383561313</v>
      </c>
      <c r="C290" s="4">
        <f>-IPMT('With Loan'!$D$41/12,'30% Down Amortization'!$A290,360,'With Loan'!$D$40,0,0)</f>
        <v>195.4985108266192</v>
      </c>
      <c r="D290" s="4">
        <f t="shared" si="9"/>
        <v>1077.7884491827506</v>
      </c>
      <c r="E290" s="3">
        <f t="shared" ref="E290:E353" si="10">E289-B290</f>
        <v>71301.775597626212</v>
      </c>
    </row>
    <row r="291" spans="1:5" x14ac:dyDescent="0.25">
      <c r="A291">
        <v>288</v>
      </c>
      <c r="B291" s="4">
        <f>-PPMT('With Loan'!$D$41/12,'30% Down Amortization'!$A291,360,'With Loan'!$D$40,0,0)</f>
        <v>884.67947360584583</v>
      </c>
      <c r="C291" s="4">
        <f>-IPMT('With Loan'!$D$41/12,'30% Down Amortization'!$A291,360,'With Loan'!$D$40,0,0)</f>
        <v>193.1089755769047</v>
      </c>
      <c r="D291" s="4">
        <f t="shared" si="9"/>
        <v>1077.7884491827506</v>
      </c>
      <c r="E291" s="3">
        <f t="shared" si="10"/>
        <v>70417.096124020361</v>
      </c>
    </row>
    <row r="292" spans="1:5" x14ac:dyDescent="0.25">
      <c r="A292">
        <v>289</v>
      </c>
      <c r="B292" s="4">
        <f>-PPMT('With Loan'!$D$41/12,'30% Down Amortization'!$A292,360,'With Loan'!$D$40,0,0)</f>
        <v>887.07548051352842</v>
      </c>
      <c r="C292" s="4">
        <f>-IPMT('With Loan'!$D$41/12,'30% Down Amortization'!$A292,360,'With Loan'!$D$40,0,0)</f>
        <v>190.71296866922216</v>
      </c>
      <c r="D292" s="4">
        <f t="shared" si="9"/>
        <v>1077.7884491827506</v>
      </c>
      <c r="E292" s="3">
        <f t="shared" si="10"/>
        <v>69530.020643506839</v>
      </c>
    </row>
    <row r="293" spans="1:5" x14ac:dyDescent="0.25">
      <c r="A293">
        <v>290</v>
      </c>
      <c r="B293" s="4">
        <f>-PPMT('With Loan'!$D$41/12,'30% Down Amortization'!$A293,360,'With Loan'!$D$40,0,0)</f>
        <v>889.4779766065858</v>
      </c>
      <c r="C293" s="4">
        <f>-IPMT('With Loan'!$D$41/12,'30% Down Amortization'!$A293,360,'With Loan'!$D$40,0,0)</f>
        <v>188.31047257616473</v>
      </c>
      <c r="D293" s="4">
        <f t="shared" si="9"/>
        <v>1077.7884491827506</v>
      </c>
      <c r="E293" s="3">
        <f t="shared" si="10"/>
        <v>68640.542666900248</v>
      </c>
    </row>
    <row r="294" spans="1:5" x14ac:dyDescent="0.25">
      <c r="A294">
        <v>291</v>
      </c>
      <c r="B294" s="4">
        <f>-PPMT('With Loan'!$D$41/12,'30% Down Amortization'!$A294,360,'With Loan'!$D$40,0,0)</f>
        <v>891.88697945989531</v>
      </c>
      <c r="C294" s="4">
        <f>-IPMT('With Loan'!$D$41/12,'30% Down Amortization'!$A294,360,'With Loan'!$D$40,0,0)</f>
        <v>185.90146972285521</v>
      </c>
      <c r="D294" s="4">
        <f t="shared" si="9"/>
        <v>1077.7884491827506</v>
      </c>
      <c r="E294" s="3">
        <f t="shared" si="10"/>
        <v>67748.655687440347</v>
      </c>
    </row>
    <row r="295" spans="1:5" x14ac:dyDescent="0.25">
      <c r="A295">
        <v>292</v>
      </c>
      <c r="B295" s="4">
        <f>-PPMT('With Loan'!$D$41/12,'30% Down Amortization'!$A295,360,'With Loan'!$D$40,0,0)</f>
        <v>894.30250669593261</v>
      </c>
      <c r="C295" s="4">
        <f>-IPMT('With Loan'!$D$41/12,'30% Down Amortization'!$A295,360,'With Loan'!$D$40,0,0)</f>
        <v>183.485942486818</v>
      </c>
      <c r="D295" s="4">
        <f t="shared" si="9"/>
        <v>1077.7884491827506</v>
      </c>
      <c r="E295" s="3">
        <f t="shared" si="10"/>
        <v>66854.353180744409</v>
      </c>
    </row>
    <row r="296" spans="1:5" x14ac:dyDescent="0.25">
      <c r="A296">
        <v>293</v>
      </c>
      <c r="B296" s="4">
        <f>-PPMT('With Loan'!$D$41/12,'30% Down Amortization'!$A296,360,'With Loan'!$D$40,0,0)</f>
        <v>896.72457598490064</v>
      </c>
      <c r="C296" s="4">
        <f>-IPMT('With Loan'!$D$41/12,'30% Down Amortization'!$A296,360,'With Loan'!$D$40,0,0)</f>
        <v>181.06387319784983</v>
      </c>
      <c r="D296" s="4">
        <f t="shared" si="9"/>
        <v>1077.7884491827504</v>
      </c>
      <c r="E296" s="3">
        <f t="shared" si="10"/>
        <v>65957.628604759506</v>
      </c>
    </row>
    <row r="297" spans="1:5" x14ac:dyDescent="0.25">
      <c r="A297">
        <v>294</v>
      </c>
      <c r="B297" s="4">
        <f>-PPMT('With Loan'!$D$41/12,'30% Down Amortization'!$A297,360,'With Loan'!$D$40,0,0)</f>
        <v>899.15320504485987</v>
      </c>
      <c r="C297" s="4">
        <f>-IPMT('With Loan'!$D$41/12,'30% Down Amortization'!$A297,360,'With Loan'!$D$40,0,0)</f>
        <v>178.63524413789077</v>
      </c>
      <c r="D297" s="4">
        <f t="shared" si="9"/>
        <v>1077.7884491827506</v>
      </c>
      <c r="E297" s="3">
        <f t="shared" si="10"/>
        <v>65058.475399714647</v>
      </c>
    </row>
    <row r="298" spans="1:5" x14ac:dyDescent="0.25">
      <c r="A298">
        <v>295</v>
      </c>
      <c r="B298" s="4">
        <f>-PPMT('With Loan'!$D$41/12,'30% Down Amortization'!$A298,360,'With Loan'!$D$40,0,0)</f>
        <v>901.58841164185628</v>
      </c>
      <c r="C298" s="4">
        <f>-IPMT('With Loan'!$D$41/12,'30% Down Amortization'!$A298,360,'With Loan'!$D$40,0,0)</f>
        <v>176.20003754089424</v>
      </c>
      <c r="D298" s="4">
        <f t="shared" si="9"/>
        <v>1077.7884491827506</v>
      </c>
      <c r="E298" s="3">
        <f t="shared" si="10"/>
        <v>64156.886988072794</v>
      </c>
    </row>
    <row r="299" spans="1:5" x14ac:dyDescent="0.25">
      <c r="A299">
        <v>296</v>
      </c>
      <c r="B299" s="4">
        <f>-PPMT('With Loan'!$D$41/12,'30% Down Amortization'!$A299,360,'With Loan'!$D$40,0,0)</f>
        <v>904.03021359005299</v>
      </c>
      <c r="C299" s="4">
        <f>-IPMT('With Loan'!$D$41/12,'30% Down Amortization'!$A299,360,'With Loan'!$D$40,0,0)</f>
        <v>173.75823559269753</v>
      </c>
      <c r="D299" s="4">
        <f t="shared" si="9"/>
        <v>1077.7884491827506</v>
      </c>
      <c r="E299" s="3">
        <f t="shared" si="10"/>
        <v>63252.856774482738</v>
      </c>
    </row>
    <row r="300" spans="1:5" x14ac:dyDescent="0.25">
      <c r="A300">
        <v>297</v>
      </c>
      <c r="B300" s="4">
        <f>-PPMT('With Loan'!$D$41/12,'30% Down Amortization'!$A300,360,'With Loan'!$D$40,0,0)</f>
        <v>906.47862875185945</v>
      </c>
      <c r="C300" s="4">
        <f>-IPMT('With Loan'!$D$41/12,'30% Down Amortization'!$A300,360,'With Loan'!$D$40,0,0)</f>
        <v>171.30982043089114</v>
      </c>
      <c r="D300" s="4">
        <f t="shared" si="9"/>
        <v>1077.7884491827506</v>
      </c>
      <c r="E300" s="3">
        <f t="shared" si="10"/>
        <v>62346.37814573088</v>
      </c>
    </row>
    <row r="301" spans="1:5" x14ac:dyDescent="0.25">
      <c r="A301">
        <v>298</v>
      </c>
      <c r="B301" s="4">
        <f>-PPMT('With Loan'!$D$41/12,'30% Down Amortization'!$A301,360,'With Loan'!$D$40,0,0)</f>
        <v>908.93367503806246</v>
      </c>
      <c r="C301" s="4">
        <f>-IPMT('With Loan'!$D$41/12,'30% Down Amortization'!$A301,360,'With Loan'!$D$40,0,0)</f>
        <v>168.85477414468821</v>
      </c>
      <c r="D301" s="4">
        <f t="shared" si="9"/>
        <v>1077.7884491827506</v>
      </c>
      <c r="E301" s="3">
        <f t="shared" si="10"/>
        <v>61437.444470692819</v>
      </c>
    </row>
    <row r="302" spans="1:5" x14ac:dyDescent="0.25">
      <c r="A302">
        <v>299</v>
      </c>
      <c r="B302" s="4">
        <f>-PPMT('With Loan'!$D$41/12,'30% Down Amortization'!$A302,360,'With Loan'!$D$40,0,0)</f>
        <v>911.3953704079571</v>
      </c>
      <c r="C302" s="4">
        <f>-IPMT('With Loan'!$D$41/12,'30% Down Amortization'!$A302,360,'With Loan'!$D$40,0,0)</f>
        <v>166.39307877479345</v>
      </c>
      <c r="D302" s="4">
        <f t="shared" si="9"/>
        <v>1077.7884491827506</v>
      </c>
      <c r="E302" s="3">
        <f t="shared" si="10"/>
        <v>60526.049100284865</v>
      </c>
    </row>
    <row r="303" spans="1:5" x14ac:dyDescent="0.25">
      <c r="A303">
        <v>300</v>
      </c>
      <c r="B303" s="4">
        <f>-PPMT('With Loan'!$D$41/12,'30% Down Amortization'!$A303,360,'With Loan'!$D$40,0,0)</f>
        <v>913.86373286947855</v>
      </c>
      <c r="C303" s="4">
        <f>-IPMT('With Loan'!$D$41/12,'30% Down Amortization'!$A303,360,'With Loan'!$D$40,0,0)</f>
        <v>163.92471631327189</v>
      </c>
      <c r="D303" s="4">
        <f t="shared" si="9"/>
        <v>1077.7884491827504</v>
      </c>
      <c r="E303" s="3">
        <f t="shared" si="10"/>
        <v>59612.185367415383</v>
      </c>
    </row>
    <row r="304" spans="1:5" x14ac:dyDescent="0.25">
      <c r="A304">
        <v>301</v>
      </c>
      <c r="B304" s="4">
        <f>-PPMT('With Loan'!$D$41/12,'30% Down Amortization'!$A304,360,'With Loan'!$D$40,0,0)</f>
        <v>916.33878047933354</v>
      </c>
      <c r="C304" s="4">
        <f>-IPMT('With Loan'!$D$41/12,'30% Down Amortization'!$A304,360,'With Loan'!$D$40,0,0)</f>
        <v>161.44966870341707</v>
      </c>
      <c r="D304" s="4">
        <f t="shared" si="9"/>
        <v>1077.7884491827506</v>
      </c>
      <c r="E304" s="3">
        <f t="shared" si="10"/>
        <v>58695.846586936052</v>
      </c>
    </row>
    <row r="305" spans="1:5" x14ac:dyDescent="0.25">
      <c r="A305">
        <v>302</v>
      </c>
      <c r="B305" s="4">
        <f>-PPMT('With Loan'!$D$41/12,'30% Down Amortization'!$A305,360,'With Loan'!$D$40,0,0)</f>
        <v>918.82053134313162</v>
      </c>
      <c r="C305" s="4">
        <f>-IPMT('With Loan'!$D$41/12,'30% Down Amortization'!$A305,360,'With Loan'!$D$40,0,0)</f>
        <v>158.96791783961882</v>
      </c>
      <c r="D305" s="4">
        <f t="shared" si="9"/>
        <v>1077.7884491827504</v>
      </c>
      <c r="E305" s="3">
        <f t="shared" si="10"/>
        <v>57777.02605559292</v>
      </c>
    </row>
    <row r="306" spans="1:5" x14ac:dyDescent="0.25">
      <c r="A306">
        <v>303</v>
      </c>
      <c r="B306" s="4">
        <f>-PPMT('With Loan'!$D$41/12,'30% Down Amortization'!$A306,360,'With Loan'!$D$40,0,0)</f>
        <v>921.30900361551937</v>
      </c>
      <c r="C306" s="4">
        <f>-IPMT('With Loan'!$D$41/12,'30% Down Amortization'!$A306,360,'With Loan'!$D$40,0,0)</f>
        <v>156.47944556723124</v>
      </c>
      <c r="D306" s="4">
        <f t="shared" si="9"/>
        <v>1077.7884491827506</v>
      </c>
      <c r="E306" s="3">
        <f t="shared" si="10"/>
        <v>56855.717051977401</v>
      </c>
    </row>
    <row r="307" spans="1:5" x14ac:dyDescent="0.25">
      <c r="A307">
        <v>304</v>
      </c>
      <c r="B307" s="4">
        <f>-PPMT('With Loan'!$D$41/12,'30% Down Amortization'!$A307,360,'With Loan'!$D$40,0,0)</f>
        <v>923.80421550031122</v>
      </c>
      <c r="C307" s="4">
        <f>-IPMT('With Loan'!$D$41/12,'30% Down Amortization'!$A307,360,'With Loan'!$D$40,0,0)</f>
        <v>153.98423368243917</v>
      </c>
      <c r="D307" s="4">
        <f t="shared" si="9"/>
        <v>1077.7884491827504</v>
      </c>
      <c r="E307" s="3">
        <f t="shared" si="10"/>
        <v>55931.912836477088</v>
      </c>
    </row>
    <row r="308" spans="1:5" x14ac:dyDescent="0.25">
      <c r="A308">
        <v>305</v>
      </c>
      <c r="B308" s="4">
        <f>-PPMT('With Loan'!$D$41/12,'30% Down Amortization'!$A308,360,'With Loan'!$D$40,0,0)</f>
        <v>926.30618525062459</v>
      </c>
      <c r="C308" s="4">
        <f>-IPMT('With Loan'!$D$41/12,'30% Down Amortization'!$A308,360,'With Loan'!$D$40,0,0)</f>
        <v>151.48226393212585</v>
      </c>
      <c r="D308" s="4">
        <f t="shared" si="9"/>
        <v>1077.7884491827504</v>
      </c>
      <c r="E308" s="3">
        <f t="shared" si="10"/>
        <v>55005.606651226466</v>
      </c>
    </row>
    <row r="309" spans="1:5" x14ac:dyDescent="0.25">
      <c r="A309">
        <v>306</v>
      </c>
      <c r="B309" s="4">
        <f>-PPMT('With Loan'!$D$41/12,'30% Down Amortization'!$A309,360,'With Loan'!$D$40,0,0)</f>
        <v>928.81493116901174</v>
      </c>
      <c r="C309" s="4">
        <f>-IPMT('With Loan'!$D$41/12,'30% Down Amortization'!$A309,360,'With Loan'!$D$40,0,0)</f>
        <v>148.97351801373875</v>
      </c>
      <c r="D309" s="4">
        <f t="shared" si="9"/>
        <v>1077.7884491827506</v>
      </c>
      <c r="E309" s="3">
        <f t="shared" si="10"/>
        <v>54076.791720057452</v>
      </c>
    </row>
    <row r="310" spans="1:5" x14ac:dyDescent="0.25">
      <c r="A310">
        <v>307</v>
      </c>
      <c r="B310" s="4">
        <f>-PPMT('With Loan'!$D$41/12,'30% Down Amortization'!$A310,360,'With Loan'!$D$40,0,0)</f>
        <v>931.33047160759452</v>
      </c>
      <c r="C310" s="4">
        <f>-IPMT('With Loan'!$D$41/12,'30% Down Amortization'!$A310,360,'With Loan'!$D$40,0,0)</f>
        <v>146.45797757515601</v>
      </c>
      <c r="D310" s="4">
        <f t="shared" si="9"/>
        <v>1077.7884491827506</v>
      </c>
      <c r="E310" s="3">
        <f t="shared" si="10"/>
        <v>53145.461248449858</v>
      </c>
    </row>
    <row r="311" spans="1:5" x14ac:dyDescent="0.25">
      <c r="A311">
        <v>308</v>
      </c>
      <c r="B311" s="4">
        <f>-PPMT('With Loan'!$D$41/12,'30% Down Amortization'!$A311,360,'With Loan'!$D$40,0,0)</f>
        <v>933.85282496819855</v>
      </c>
      <c r="C311" s="4">
        <f>-IPMT('With Loan'!$D$41/12,'30% Down Amortization'!$A311,360,'With Loan'!$D$40,0,0)</f>
        <v>143.93562421455206</v>
      </c>
      <c r="D311" s="4">
        <f t="shared" si="9"/>
        <v>1077.7884491827506</v>
      </c>
      <c r="E311" s="3">
        <f t="shared" si="10"/>
        <v>52211.608423481659</v>
      </c>
    </row>
    <row r="312" spans="1:5" x14ac:dyDescent="0.25">
      <c r="A312">
        <v>309</v>
      </c>
      <c r="B312" s="4">
        <f>-PPMT('With Loan'!$D$41/12,'30% Down Amortization'!$A312,360,'With Loan'!$D$40,0,0)</f>
        <v>936.38200970248727</v>
      </c>
      <c r="C312" s="4">
        <f>-IPMT('With Loan'!$D$41/12,'30% Down Amortization'!$A312,360,'With Loan'!$D$40,0,0)</f>
        <v>141.4064394802632</v>
      </c>
      <c r="D312" s="4">
        <f t="shared" si="9"/>
        <v>1077.7884491827504</v>
      </c>
      <c r="E312" s="3">
        <f t="shared" si="10"/>
        <v>51275.226413779172</v>
      </c>
    </row>
    <row r="313" spans="1:5" x14ac:dyDescent="0.25">
      <c r="A313">
        <v>310</v>
      </c>
      <c r="B313" s="4">
        <f>-PPMT('With Loan'!$D$41/12,'30% Down Amortization'!$A313,360,'With Loan'!$D$40,0,0)</f>
        <v>938.91804431209823</v>
      </c>
      <c r="C313" s="4">
        <f>-IPMT('With Loan'!$D$41/12,'30% Down Amortization'!$A313,360,'With Loan'!$D$40,0,0)</f>
        <v>138.87040487065232</v>
      </c>
      <c r="D313" s="4">
        <f t="shared" si="9"/>
        <v>1077.7884491827506</v>
      </c>
      <c r="E313" s="3">
        <f t="shared" si="10"/>
        <v>50336.308369467071</v>
      </c>
    </row>
    <row r="314" spans="1:5" x14ac:dyDescent="0.25">
      <c r="A314">
        <v>311</v>
      </c>
      <c r="B314" s="4">
        <f>-PPMT('With Loan'!$D$41/12,'30% Down Amortization'!$A314,360,'With Loan'!$D$40,0,0)</f>
        <v>941.46094734877681</v>
      </c>
      <c r="C314" s="4">
        <f>-IPMT('With Loan'!$D$41/12,'30% Down Amortization'!$A314,360,'With Loan'!$D$40,0,0)</f>
        <v>136.32750183397368</v>
      </c>
      <c r="D314" s="4">
        <f t="shared" si="9"/>
        <v>1077.7884491827506</v>
      </c>
      <c r="E314" s="3">
        <f t="shared" si="10"/>
        <v>49394.847422118291</v>
      </c>
    </row>
    <row r="315" spans="1:5" x14ac:dyDescent="0.25">
      <c r="A315">
        <v>312</v>
      </c>
      <c r="B315" s="4">
        <f>-PPMT('With Loan'!$D$41/12,'30% Down Amortization'!$A315,360,'With Loan'!$D$40,0,0)</f>
        <v>944.01073741451296</v>
      </c>
      <c r="C315" s="4">
        <f>-IPMT('With Loan'!$D$41/12,'30% Down Amortization'!$A315,360,'With Loan'!$D$40,0,0)</f>
        <v>133.77771176823742</v>
      </c>
      <c r="D315" s="4">
        <f t="shared" si="9"/>
        <v>1077.7884491827504</v>
      </c>
      <c r="E315" s="3">
        <f t="shared" si="10"/>
        <v>48450.836684703776</v>
      </c>
    </row>
    <row r="316" spans="1:5" x14ac:dyDescent="0.25">
      <c r="A316">
        <v>313</v>
      </c>
      <c r="B316" s="4">
        <f>-PPMT('With Loan'!$D$41/12,'30% Down Amortization'!$A316,360,'With Loan'!$D$40,0,0)</f>
        <v>946.5674331616774</v>
      </c>
      <c r="C316" s="4">
        <f>-IPMT('With Loan'!$D$41/12,'30% Down Amortization'!$A316,360,'With Loan'!$D$40,0,0)</f>
        <v>131.22101602107315</v>
      </c>
      <c r="D316" s="4">
        <f t="shared" si="9"/>
        <v>1077.7884491827506</v>
      </c>
      <c r="E316" s="3">
        <f t="shared" si="10"/>
        <v>47504.2692515421</v>
      </c>
    </row>
    <row r="317" spans="1:5" x14ac:dyDescent="0.25">
      <c r="A317">
        <v>314</v>
      </c>
      <c r="B317" s="4">
        <f>-PPMT('With Loan'!$D$41/12,'30% Down Amortization'!$A317,360,'With Loan'!$D$40,0,0)</f>
        <v>949.13105329315704</v>
      </c>
      <c r="C317" s="4">
        <f>-IPMT('With Loan'!$D$41/12,'30% Down Amortization'!$A317,360,'With Loan'!$D$40,0,0)</f>
        <v>128.6573958895936</v>
      </c>
      <c r="D317" s="4">
        <f t="shared" si="9"/>
        <v>1077.7884491827506</v>
      </c>
      <c r="E317" s="3">
        <f t="shared" si="10"/>
        <v>46555.13819824894</v>
      </c>
    </row>
    <row r="318" spans="1:5" x14ac:dyDescent="0.25">
      <c r="A318">
        <v>315</v>
      </c>
      <c r="B318" s="4">
        <f>-PPMT('With Loan'!$D$41/12,'30% Down Amortization'!$A318,360,'With Loan'!$D$40,0,0)</f>
        <v>951.70161656249252</v>
      </c>
      <c r="C318" s="4">
        <f>-IPMT('With Loan'!$D$41/12,'30% Down Amortization'!$A318,360,'With Loan'!$D$40,0,0)</f>
        <v>126.08683262025797</v>
      </c>
      <c r="D318" s="4">
        <f t="shared" si="9"/>
        <v>1077.7884491827506</v>
      </c>
      <c r="E318" s="3">
        <f t="shared" si="10"/>
        <v>45603.436581686445</v>
      </c>
    </row>
    <row r="319" spans="1:5" x14ac:dyDescent="0.25">
      <c r="A319">
        <v>316</v>
      </c>
      <c r="B319" s="4">
        <f>-PPMT('With Loan'!$D$41/12,'30% Down Amortization'!$A319,360,'With Loan'!$D$40,0,0)</f>
        <v>954.27914177401601</v>
      </c>
      <c r="C319" s="4">
        <f>-IPMT('With Loan'!$D$41/12,'30% Down Amortization'!$A319,360,'With Loan'!$D$40,0,0)</f>
        <v>123.50930740873456</v>
      </c>
      <c r="D319" s="4">
        <f t="shared" si="9"/>
        <v>1077.7884491827506</v>
      </c>
      <c r="E319" s="3">
        <f t="shared" si="10"/>
        <v>44649.157439912429</v>
      </c>
    </row>
    <row r="320" spans="1:5" x14ac:dyDescent="0.25">
      <c r="A320">
        <v>317</v>
      </c>
      <c r="B320" s="4">
        <f>-PPMT('With Loan'!$D$41/12,'30% Down Amortization'!$A320,360,'With Loan'!$D$40,0,0)</f>
        <v>956.86364778298741</v>
      </c>
      <c r="C320" s="4">
        <f>-IPMT('With Loan'!$D$41/12,'30% Down Amortization'!$A320,360,'With Loan'!$D$40,0,0)</f>
        <v>120.92480139976327</v>
      </c>
      <c r="D320" s="4">
        <f t="shared" si="9"/>
        <v>1077.7884491827506</v>
      </c>
      <c r="E320" s="3">
        <f t="shared" si="10"/>
        <v>43692.293792129443</v>
      </c>
    </row>
    <row r="321" spans="1:5" x14ac:dyDescent="0.25">
      <c r="A321">
        <v>318</v>
      </c>
      <c r="B321" s="4">
        <f>-PPMT('With Loan'!$D$41/12,'30% Down Amortization'!$A321,360,'With Loan'!$D$40,0,0)</f>
        <v>959.45515349573282</v>
      </c>
      <c r="C321" s="4">
        <f>-IPMT('With Loan'!$D$41/12,'30% Down Amortization'!$A321,360,'With Loan'!$D$40,0,0)</f>
        <v>118.33329568701765</v>
      </c>
      <c r="D321" s="4">
        <f t="shared" si="9"/>
        <v>1077.7884491827504</v>
      </c>
      <c r="E321" s="3">
        <f t="shared" si="10"/>
        <v>42732.838638633708</v>
      </c>
    </row>
    <row r="322" spans="1:5" x14ac:dyDescent="0.25">
      <c r="A322">
        <v>319</v>
      </c>
      <c r="B322" s="4">
        <f>-PPMT('With Loan'!$D$41/12,'30% Down Amortization'!$A322,360,'With Loan'!$D$40,0,0)</f>
        <v>962.05367786978388</v>
      </c>
      <c r="C322" s="4">
        <f>-IPMT('With Loan'!$D$41/12,'30% Down Amortization'!$A322,360,'With Loan'!$D$40,0,0)</f>
        <v>115.73477131296671</v>
      </c>
      <c r="D322" s="4">
        <f t="shared" si="9"/>
        <v>1077.7884491827506</v>
      </c>
      <c r="E322" s="3">
        <f t="shared" si="10"/>
        <v>41770.784960763922</v>
      </c>
    </row>
    <row r="323" spans="1:5" x14ac:dyDescent="0.25">
      <c r="A323">
        <v>320</v>
      </c>
      <c r="B323" s="4">
        <f>-PPMT('With Loan'!$D$41/12,'30% Down Amortization'!$A323,360,'With Loan'!$D$40,0,0)</f>
        <v>964.65923991401439</v>
      </c>
      <c r="C323" s="4">
        <f>-IPMT('With Loan'!$D$41/12,'30% Down Amortization'!$A323,360,'With Loan'!$D$40,0,0)</f>
        <v>113.12920926873606</v>
      </c>
      <c r="D323" s="4">
        <f t="shared" si="9"/>
        <v>1077.7884491827504</v>
      </c>
      <c r="E323" s="3">
        <f t="shared" si="10"/>
        <v>40806.125720849908</v>
      </c>
    </row>
    <row r="324" spans="1:5" x14ac:dyDescent="0.25">
      <c r="A324">
        <v>321</v>
      </c>
      <c r="B324" s="4">
        <f>-PPMT('With Loan'!$D$41/12,'30% Down Amortization'!$A324,360,'With Loan'!$D$40,0,0)</f>
        <v>967.27185868878155</v>
      </c>
      <c r="C324" s="4">
        <f>-IPMT('With Loan'!$D$41/12,'30% Down Amortization'!$A324,360,'With Loan'!$D$40,0,0)</f>
        <v>110.51659049396893</v>
      </c>
      <c r="D324" s="4">
        <f t="shared" si="9"/>
        <v>1077.7884491827506</v>
      </c>
      <c r="E324" s="3">
        <f t="shared" si="10"/>
        <v>39838.85386216113</v>
      </c>
    </row>
    <row r="325" spans="1:5" x14ac:dyDescent="0.25">
      <c r="A325">
        <v>322</v>
      </c>
      <c r="B325" s="4">
        <f>-PPMT('With Loan'!$D$41/12,'30% Down Amortization'!$A325,360,'With Loan'!$D$40,0,0)</f>
        <v>969.89155330606377</v>
      </c>
      <c r="C325" s="4">
        <f>-IPMT('With Loan'!$D$41/12,'30% Down Amortization'!$A325,360,'With Loan'!$D$40,0,0)</f>
        <v>107.89689587668683</v>
      </c>
      <c r="D325" s="4">
        <f t="shared" ref="D325:D363" si="11">B325+C325</f>
        <v>1077.7884491827506</v>
      </c>
      <c r="E325" s="3">
        <f t="shared" si="10"/>
        <v>38868.962308855065</v>
      </c>
    </row>
    <row r="326" spans="1:5" x14ac:dyDescent="0.25">
      <c r="A326">
        <v>323</v>
      </c>
      <c r="B326" s="4">
        <f>-PPMT('With Loan'!$D$41/12,'30% Down Amortization'!$A326,360,'With Loan'!$D$40,0,0)</f>
        <v>972.51834292960098</v>
      </c>
      <c r="C326" s="4">
        <f>-IPMT('With Loan'!$D$41/12,'30% Down Amortization'!$A326,360,'With Loan'!$D$40,0,0)</f>
        <v>105.27010625314958</v>
      </c>
      <c r="D326" s="4">
        <f t="shared" si="11"/>
        <v>1077.7884491827506</v>
      </c>
      <c r="E326" s="3">
        <f t="shared" si="10"/>
        <v>37896.443965925464</v>
      </c>
    </row>
    <row r="327" spans="1:5" x14ac:dyDescent="0.25">
      <c r="A327">
        <v>324</v>
      </c>
      <c r="B327" s="4">
        <f>-PPMT('With Loan'!$D$41/12,'30% Down Amortization'!$A327,360,'With Loan'!$D$40,0,0)</f>
        <v>975.15224677503522</v>
      </c>
      <c r="C327" s="4">
        <f>-IPMT('With Loan'!$D$41/12,'30% Down Amortization'!$A327,360,'With Loan'!$D$40,0,0)</f>
        <v>102.63620240771523</v>
      </c>
      <c r="D327" s="4">
        <f t="shared" si="11"/>
        <v>1077.7884491827504</v>
      </c>
      <c r="E327" s="3">
        <f t="shared" si="10"/>
        <v>36921.291719150431</v>
      </c>
    </row>
    <row r="328" spans="1:5" x14ac:dyDescent="0.25">
      <c r="A328">
        <v>325</v>
      </c>
      <c r="B328" s="4">
        <f>-PPMT('With Loan'!$D$41/12,'30% Down Amortization'!$A328,360,'With Loan'!$D$40,0,0)</f>
        <v>977.79328411005099</v>
      </c>
      <c r="C328" s="4">
        <f>-IPMT('With Loan'!$D$41/12,'30% Down Amortization'!$A328,360,'With Loan'!$D$40,0,0)</f>
        <v>99.995165072699507</v>
      </c>
      <c r="D328" s="4">
        <f t="shared" si="11"/>
        <v>1077.7884491827506</v>
      </c>
      <c r="E328" s="3">
        <f t="shared" si="10"/>
        <v>35943.498435040383</v>
      </c>
    </row>
    <row r="329" spans="1:5" x14ac:dyDescent="0.25">
      <c r="A329">
        <v>326</v>
      </c>
      <c r="B329" s="4">
        <f>-PPMT('With Loan'!$D$41/12,'30% Down Amortization'!$A329,360,'With Loan'!$D$40,0,0)</f>
        <v>980.44147425451581</v>
      </c>
      <c r="C329" s="4">
        <f>-IPMT('With Loan'!$D$41/12,'30% Down Amortization'!$A329,360,'With Loan'!$D$40,0,0)</f>
        <v>97.346974928234772</v>
      </c>
      <c r="D329" s="4">
        <f t="shared" si="11"/>
        <v>1077.7884491827506</v>
      </c>
      <c r="E329" s="3">
        <f t="shared" si="10"/>
        <v>34963.056960785871</v>
      </c>
    </row>
    <row r="330" spans="1:5" x14ac:dyDescent="0.25">
      <c r="A330">
        <v>327</v>
      </c>
      <c r="B330" s="4">
        <f>-PPMT('With Loan'!$D$41/12,'30% Down Amortization'!$A330,360,'With Loan'!$D$40,0,0)</f>
        <v>983.09683658062181</v>
      </c>
      <c r="C330" s="4">
        <f>-IPMT('With Loan'!$D$41/12,'30% Down Amortization'!$A330,360,'With Loan'!$D$40,0,0)</f>
        <v>94.691612602128814</v>
      </c>
      <c r="D330" s="4">
        <f t="shared" si="11"/>
        <v>1077.7884491827506</v>
      </c>
      <c r="E330" s="3">
        <f t="shared" si="10"/>
        <v>33979.960124205252</v>
      </c>
    </row>
    <row r="331" spans="1:5" x14ac:dyDescent="0.25">
      <c r="A331">
        <v>328</v>
      </c>
      <c r="B331" s="4">
        <f>-PPMT('With Loan'!$D$41/12,'30% Down Amortization'!$A331,360,'With Loan'!$D$40,0,0)</f>
        <v>985.7593905130276</v>
      </c>
      <c r="C331" s="4">
        <f>-IPMT('With Loan'!$D$41/12,'30% Down Amortization'!$A331,360,'With Loan'!$D$40,0,0)</f>
        <v>92.029058669722957</v>
      </c>
      <c r="D331" s="4">
        <f t="shared" si="11"/>
        <v>1077.7884491827506</v>
      </c>
      <c r="E331" s="3">
        <f t="shared" si="10"/>
        <v>32994.200733692225</v>
      </c>
    </row>
    <row r="332" spans="1:5" x14ac:dyDescent="0.25">
      <c r="A332">
        <v>329</v>
      </c>
      <c r="B332" s="4">
        <f>-PPMT('With Loan'!$D$41/12,'30% Down Amortization'!$A332,360,'With Loan'!$D$40,0,0)</f>
        <v>988.42915552900035</v>
      </c>
      <c r="C332" s="4">
        <f>-IPMT('With Loan'!$D$41/12,'30% Down Amortization'!$A332,360,'With Loan'!$D$40,0,0)</f>
        <v>89.359293653750171</v>
      </c>
      <c r="D332" s="4">
        <f t="shared" si="11"/>
        <v>1077.7884491827506</v>
      </c>
      <c r="E332" s="3">
        <f t="shared" si="10"/>
        <v>32005.771578163225</v>
      </c>
    </row>
    <row r="333" spans="1:5" x14ac:dyDescent="0.25">
      <c r="A333">
        <v>330</v>
      </c>
      <c r="B333" s="4">
        <f>-PPMT('With Loan'!$D$41/12,'30% Down Amortization'!$A333,360,'With Loan'!$D$40,0,0)</f>
        <v>991.10615115855808</v>
      </c>
      <c r="C333" s="4">
        <f>-IPMT('With Loan'!$D$41/12,'30% Down Amortization'!$A333,360,'With Loan'!$D$40,0,0)</f>
        <v>86.682298024192448</v>
      </c>
      <c r="D333" s="4">
        <f t="shared" si="11"/>
        <v>1077.7884491827506</v>
      </c>
      <c r="E333" s="3">
        <f t="shared" si="10"/>
        <v>31014.665427004667</v>
      </c>
    </row>
    <row r="334" spans="1:5" x14ac:dyDescent="0.25">
      <c r="A334">
        <v>331</v>
      </c>
      <c r="B334" s="4">
        <f>-PPMT('With Loan'!$D$41/12,'30% Down Amortization'!$A334,360,'With Loan'!$D$40,0,0)</f>
        <v>993.79039698461247</v>
      </c>
      <c r="C334" s="4">
        <f>-IPMT('With Loan'!$D$41/12,'30% Down Amortization'!$A334,360,'With Loan'!$D$40,0,0)</f>
        <v>83.998052198138026</v>
      </c>
      <c r="D334" s="4">
        <f t="shared" si="11"/>
        <v>1077.7884491827506</v>
      </c>
      <c r="E334" s="3">
        <f t="shared" si="10"/>
        <v>30020.875030020055</v>
      </c>
    </row>
    <row r="335" spans="1:5" x14ac:dyDescent="0.25">
      <c r="A335">
        <v>332</v>
      </c>
      <c r="B335" s="4">
        <f>-PPMT('With Loan'!$D$41/12,'30% Down Amortization'!$A335,360,'With Loan'!$D$40,0,0)</f>
        <v>996.48191264311254</v>
      </c>
      <c r="C335" s="4">
        <f>-IPMT('With Loan'!$D$41/12,'30% Down Amortization'!$A335,360,'With Loan'!$D$40,0,0)</f>
        <v>81.306536539638046</v>
      </c>
      <c r="D335" s="4">
        <f t="shared" si="11"/>
        <v>1077.7884491827506</v>
      </c>
      <c r="E335" s="3">
        <f t="shared" si="10"/>
        <v>29024.393117376942</v>
      </c>
    </row>
    <row r="336" spans="1:5" x14ac:dyDescent="0.25">
      <c r="A336">
        <v>333</v>
      </c>
      <c r="B336" s="4">
        <f>-PPMT('With Loan'!$D$41/12,'30% Down Amortization'!$A336,360,'With Loan'!$D$40,0,0)</f>
        <v>999.18071782318748</v>
      </c>
      <c r="C336" s="4">
        <f>-IPMT('With Loan'!$D$41/12,'30% Down Amortization'!$A336,360,'With Loan'!$D$40,0,0)</f>
        <v>78.607731359562948</v>
      </c>
      <c r="D336" s="4">
        <f t="shared" si="11"/>
        <v>1077.7884491827504</v>
      </c>
      <c r="E336" s="3">
        <f t="shared" si="10"/>
        <v>28025.212399553755</v>
      </c>
    </row>
    <row r="337" spans="1:5" x14ac:dyDescent="0.25">
      <c r="A337">
        <v>334</v>
      </c>
      <c r="B337" s="4">
        <f>-PPMT('With Loan'!$D$41/12,'30% Down Amortization'!$A337,360,'With Loan'!$D$40,0,0)</f>
        <v>1001.886832267292</v>
      </c>
      <c r="C337" s="4">
        <f>-IPMT('With Loan'!$D$41/12,'30% Down Amortization'!$A337,360,'With Loan'!$D$40,0,0)</f>
        <v>75.90161691545849</v>
      </c>
      <c r="D337" s="4">
        <f t="shared" si="11"/>
        <v>1077.7884491827506</v>
      </c>
      <c r="E337" s="3">
        <f t="shared" si="10"/>
        <v>27023.325567286462</v>
      </c>
    </row>
    <row r="338" spans="1:5" x14ac:dyDescent="0.25">
      <c r="A338">
        <v>335</v>
      </c>
      <c r="B338" s="4">
        <f>-PPMT('With Loan'!$D$41/12,'30% Down Amortization'!$A338,360,'With Loan'!$D$40,0,0)</f>
        <v>1004.6002757713492</v>
      </c>
      <c r="C338" s="4">
        <f>-IPMT('With Loan'!$D$41/12,'30% Down Amortization'!$A338,360,'With Loan'!$D$40,0,0)</f>
        <v>73.188173411401252</v>
      </c>
      <c r="D338" s="4">
        <f t="shared" si="11"/>
        <v>1077.7884491827504</v>
      </c>
      <c r="E338" s="3">
        <f t="shared" si="10"/>
        <v>26018.725291515111</v>
      </c>
    </row>
    <row r="339" spans="1:5" x14ac:dyDescent="0.25">
      <c r="A339">
        <v>336</v>
      </c>
      <c r="B339" s="4">
        <f>-PPMT('With Loan'!$D$41/12,'30% Down Amortization'!$A339,360,'With Loan'!$D$40,0,0)</f>
        <v>1007.3210681848966</v>
      </c>
      <c r="C339" s="4">
        <f>-IPMT('With Loan'!$D$41/12,'30% Down Amortization'!$A339,360,'With Loan'!$D$40,0,0)</f>
        <v>70.467380997853837</v>
      </c>
      <c r="D339" s="4">
        <f t="shared" si="11"/>
        <v>1077.7884491827504</v>
      </c>
      <c r="E339" s="3">
        <f t="shared" si="10"/>
        <v>25011.404223330213</v>
      </c>
    </row>
    <row r="340" spans="1:5" x14ac:dyDescent="0.25">
      <c r="A340">
        <v>337</v>
      </c>
      <c r="B340" s="4">
        <f>-PPMT('With Loan'!$D$41/12,'30% Down Amortization'!$A340,360,'With Loan'!$D$40,0,0)</f>
        <v>1010.0492294112307</v>
      </c>
      <c r="C340" s="4">
        <f>-IPMT('With Loan'!$D$41/12,'30% Down Amortization'!$A340,360,'With Loan'!$D$40,0,0)</f>
        <v>67.739219771519743</v>
      </c>
      <c r="D340" s="4">
        <f t="shared" si="11"/>
        <v>1077.7884491827504</v>
      </c>
      <c r="E340" s="3">
        <f t="shared" si="10"/>
        <v>24001.354993918983</v>
      </c>
    </row>
    <row r="341" spans="1:5" x14ac:dyDescent="0.25">
      <c r="A341">
        <v>338</v>
      </c>
      <c r="B341" s="4">
        <f>-PPMT('With Loan'!$D$41/12,'30% Down Amortization'!$A341,360,'With Loan'!$D$40,0,0)</f>
        <v>1012.7847794075528</v>
      </c>
      <c r="C341" s="4">
        <f>-IPMT('With Loan'!$D$41/12,'30% Down Amortization'!$A341,360,'With Loan'!$D$40,0,0)</f>
        <v>65.003669775197636</v>
      </c>
      <c r="D341" s="4">
        <f t="shared" si="11"/>
        <v>1077.7884491827504</v>
      </c>
      <c r="E341" s="3">
        <f t="shared" si="10"/>
        <v>22988.57021451143</v>
      </c>
    </row>
    <row r="342" spans="1:5" x14ac:dyDescent="0.25">
      <c r="A342">
        <v>339</v>
      </c>
      <c r="B342" s="4">
        <f>-PPMT('With Loan'!$D$41/12,'30% Down Amortization'!$A342,360,'With Loan'!$D$40,0,0)</f>
        <v>1015.5277381851151</v>
      </c>
      <c r="C342" s="4">
        <f>-IPMT('With Loan'!$D$41/12,'30% Down Amortization'!$A342,360,'With Loan'!$D$40,0,0)</f>
        <v>62.260710997635542</v>
      </c>
      <c r="D342" s="4">
        <f t="shared" si="11"/>
        <v>1077.7884491827506</v>
      </c>
      <c r="E342" s="3">
        <f t="shared" si="10"/>
        <v>21973.042476326314</v>
      </c>
    </row>
    <row r="343" spans="1:5" x14ac:dyDescent="0.25">
      <c r="A343">
        <v>340</v>
      </c>
      <c r="B343" s="4">
        <f>-PPMT('With Loan'!$D$41/12,'30% Down Amortization'!$A343,360,'With Loan'!$D$40,0,0)</f>
        <v>1018.2781258093663</v>
      </c>
      <c r="C343" s="4">
        <f>-IPMT('With Loan'!$D$41/12,'30% Down Amortization'!$A343,360,'With Loan'!$D$40,0,0)</f>
        <v>59.510323373384182</v>
      </c>
      <c r="D343" s="4">
        <f t="shared" si="11"/>
        <v>1077.7884491827506</v>
      </c>
      <c r="E343" s="3">
        <f t="shared" si="10"/>
        <v>20954.764350516947</v>
      </c>
    </row>
    <row r="344" spans="1:5" x14ac:dyDescent="0.25">
      <c r="A344">
        <v>341</v>
      </c>
      <c r="B344" s="4">
        <f>-PPMT('With Loan'!$D$41/12,'30% Down Amortization'!$A344,360,'With Loan'!$D$40,0,0)</f>
        <v>1021.0359624001002</v>
      </c>
      <c r="C344" s="4">
        <f>-IPMT('With Loan'!$D$41/12,'30% Down Amortization'!$A344,360,'With Loan'!$D$40,0,0)</f>
        <v>56.752486782650479</v>
      </c>
      <c r="D344" s="4">
        <f t="shared" si="11"/>
        <v>1077.7884491827506</v>
      </c>
      <c r="E344" s="3">
        <f t="shared" si="10"/>
        <v>19933.728388116848</v>
      </c>
    </row>
    <row r="345" spans="1:5" x14ac:dyDescent="0.25">
      <c r="A345">
        <v>342</v>
      </c>
      <c r="B345" s="4">
        <f>-PPMT('With Loan'!$D$41/12,'30% Down Amortization'!$A345,360,'With Loan'!$D$40,0,0)</f>
        <v>1023.8012681316004</v>
      </c>
      <c r="C345" s="4">
        <f>-IPMT('With Loan'!$D$41/12,'30% Down Amortization'!$A345,360,'With Loan'!$D$40,0,0)</f>
        <v>53.987181051150202</v>
      </c>
      <c r="D345" s="4">
        <f t="shared" si="11"/>
        <v>1077.7884491827506</v>
      </c>
      <c r="E345" s="3">
        <f t="shared" si="10"/>
        <v>18909.927119985248</v>
      </c>
    </row>
    <row r="346" spans="1:5" x14ac:dyDescent="0.25">
      <c r="A346">
        <v>343</v>
      </c>
      <c r="B346" s="4">
        <f>-PPMT('With Loan'!$D$41/12,'30% Down Amortization'!$A346,360,'With Loan'!$D$40,0,0)</f>
        <v>1026.57406323279</v>
      </c>
      <c r="C346" s="4">
        <f>-IPMT('With Loan'!$D$41/12,'30% Down Amortization'!$A346,360,'With Loan'!$D$40,0,0)</f>
        <v>51.214385949960466</v>
      </c>
      <c r="D346" s="4">
        <f t="shared" si="11"/>
        <v>1077.7884491827504</v>
      </c>
      <c r="E346" s="3">
        <f t="shared" si="10"/>
        <v>17883.353056752458</v>
      </c>
    </row>
    <row r="347" spans="1:5" x14ac:dyDescent="0.25">
      <c r="A347">
        <v>344</v>
      </c>
      <c r="B347" s="4">
        <f>-PPMT('With Loan'!$D$41/12,'30% Down Amortization'!$A347,360,'With Loan'!$D$40,0,0)</f>
        <v>1029.354367987379</v>
      </c>
      <c r="C347" s="4">
        <f>-IPMT('With Loan'!$D$41/12,'30% Down Amortization'!$A347,360,'With Loan'!$D$40,0,0)</f>
        <v>48.434081195371668</v>
      </c>
      <c r="D347" s="4">
        <f t="shared" si="11"/>
        <v>1077.7884491827506</v>
      </c>
      <c r="E347" s="3">
        <f t="shared" si="10"/>
        <v>16853.998688765078</v>
      </c>
    </row>
    <row r="348" spans="1:5" x14ac:dyDescent="0.25">
      <c r="A348">
        <v>345</v>
      </c>
      <c r="B348" s="4">
        <f>-PPMT('With Loan'!$D$41/12,'30% Down Amortization'!$A348,360,'With Loan'!$D$40,0,0)</f>
        <v>1032.1422027340113</v>
      </c>
      <c r="C348" s="4">
        <f>-IPMT('With Loan'!$D$41/12,'30% Down Amortization'!$A348,360,'With Loan'!$D$40,0,0)</f>
        <v>45.64624644873917</v>
      </c>
      <c r="D348" s="4">
        <f t="shared" si="11"/>
        <v>1077.7884491827506</v>
      </c>
      <c r="E348" s="3">
        <f t="shared" si="10"/>
        <v>15821.856486031065</v>
      </c>
    </row>
    <row r="349" spans="1:5" x14ac:dyDescent="0.25">
      <c r="A349">
        <v>346</v>
      </c>
      <c r="B349" s="4">
        <f>-PPMT('With Loan'!$D$41/12,'30% Down Amortization'!$A349,360,'With Loan'!$D$40,0,0)</f>
        <v>1034.9375878664159</v>
      </c>
      <c r="C349" s="4">
        <f>-IPMT('With Loan'!$D$41/12,'30% Down Amortization'!$A349,360,'With Loan'!$D$40,0,0)</f>
        <v>42.850861316334544</v>
      </c>
      <c r="D349" s="4">
        <f t="shared" si="11"/>
        <v>1077.7884491827504</v>
      </c>
      <c r="E349" s="3">
        <f t="shared" si="10"/>
        <v>14786.918898164649</v>
      </c>
    </row>
    <row r="350" spans="1:5" x14ac:dyDescent="0.25">
      <c r="A350">
        <v>347</v>
      </c>
      <c r="B350" s="4">
        <f>-PPMT('With Loan'!$D$41/12,'30% Down Amortization'!$A350,360,'With Loan'!$D$40,0,0)</f>
        <v>1037.7405438335541</v>
      </c>
      <c r="C350" s="4">
        <f>-IPMT('With Loan'!$D$41/12,'30% Down Amortization'!$A350,360,'With Loan'!$D$40,0,0)</f>
        <v>40.047905349196341</v>
      </c>
      <c r="D350" s="4">
        <f t="shared" si="11"/>
        <v>1077.7884491827504</v>
      </c>
      <c r="E350" s="3">
        <f t="shared" si="10"/>
        <v>13749.178354331096</v>
      </c>
    </row>
    <row r="351" spans="1:5" x14ac:dyDescent="0.25">
      <c r="A351">
        <v>348</v>
      </c>
      <c r="B351" s="4">
        <f>-PPMT('With Loan'!$D$41/12,'30% Down Amortization'!$A351,360,'With Loan'!$D$40,0,0)</f>
        <v>1040.5510911397701</v>
      </c>
      <c r="C351" s="4">
        <f>-IPMT('With Loan'!$D$41/12,'30% Down Amortization'!$A351,360,'With Loan'!$D$40,0,0)</f>
        <v>37.237358042980468</v>
      </c>
      <c r="D351" s="4">
        <f t="shared" si="11"/>
        <v>1077.7884491827506</v>
      </c>
      <c r="E351" s="3">
        <f t="shared" si="10"/>
        <v>12708.627263191325</v>
      </c>
    </row>
    <row r="352" spans="1:5" x14ac:dyDescent="0.25">
      <c r="A352">
        <v>349</v>
      </c>
      <c r="B352" s="4">
        <f>-PPMT('With Loan'!$D$41/12,'30% Down Amortization'!$A352,360,'With Loan'!$D$40,0,0)</f>
        <v>1043.3692503449402</v>
      </c>
      <c r="C352" s="4">
        <f>-IPMT('With Loan'!$D$41/12,'30% Down Amortization'!$A352,360,'With Loan'!$D$40,0,0)</f>
        <v>34.419198837810256</v>
      </c>
      <c r="D352" s="4">
        <f t="shared" si="11"/>
        <v>1077.7884491827504</v>
      </c>
      <c r="E352" s="3">
        <f t="shared" si="10"/>
        <v>11665.258012846385</v>
      </c>
    </row>
    <row r="353" spans="1:5" x14ac:dyDescent="0.25">
      <c r="A353">
        <v>350</v>
      </c>
      <c r="B353" s="4">
        <f>-PPMT('With Loan'!$D$41/12,'30% Down Amortization'!$A353,360,'With Loan'!$D$40,0,0)</f>
        <v>1046.1950420646244</v>
      </c>
      <c r="C353" s="4">
        <f>-IPMT('With Loan'!$D$41/12,'30% Down Amortization'!$A353,360,'With Loan'!$D$40,0,0)</f>
        <v>31.593407118126041</v>
      </c>
      <c r="D353" s="4">
        <f t="shared" si="11"/>
        <v>1077.7884491827506</v>
      </c>
      <c r="E353" s="3">
        <f t="shared" si="10"/>
        <v>10619.062970781761</v>
      </c>
    </row>
    <row r="354" spans="1:5" x14ac:dyDescent="0.25">
      <c r="A354">
        <v>351</v>
      </c>
      <c r="B354" s="4">
        <f>-PPMT('With Loan'!$D$41/12,'30% Down Amortization'!$A354,360,'With Loan'!$D$40,0,0)</f>
        <v>1049.0284869702161</v>
      </c>
      <c r="C354" s="4">
        <f>-IPMT('With Loan'!$D$41/12,'30% Down Amortization'!$A354,360,'With Loan'!$D$40,0,0)</f>
        <v>28.759962212534344</v>
      </c>
      <c r="D354" s="4">
        <f t="shared" si="11"/>
        <v>1077.7884491827506</v>
      </c>
      <c r="E354" s="3">
        <f t="shared" ref="E354:E363" si="12">E353-B354</f>
        <v>9570.0344838115452</v>
      </c>
    </row>
    <row r="355" spans="1:5" x14ac:dyDescent="0.25">
      <c r="A355">
        <v>352</v>
      </c>
      <c r="B355" s="4">
        <f>-PPMT('With Loan'!$D$41/12,'30% Down Amortization'!$A355,360,'With Loan'!$D$40,0,0)</f>
        <v>1051.8696057890938</v>
      </c>
      <c r="C355" s="4">
        <f>-IPMT('With Loan'!$D$41/12,'30% Down Amortization'!$A355,360,'With Loan'!$D$40,0,0)</f>
        <v>25.91884339365668</v>
      </c>
      <c r="D355" s="4">
        <f t="shared" si="11"/>
        <v>1077.7884491827506</v>
      </c>
      <c r="E355" s="3">
        <f t="shared" si="12"/>
        <v>8518.1648780224514</v>
      </c>
    </row>
    <row r="356" spans="1:5" x14ac:dyDescent="0.25">
      <c r="A356">
        <v>353</v>
      </c>
      <c r="B356" s="4">
        <f>-PPMT('With Loan'!$D$41/12,'30% Down Amortization'!$A356,360,'With Loan'!$D$40,0,0)</f>
        <v>1054.7184193047726</v>
      </c>
      <c r="C356" s="4">
        <f>-IPMT('With Loan'!$D$41/12,'30% Down Amortization'!$A356,360,'With Loan'!$D$40,0,0)</f>
        <v>23.070029877977881</v>
      </c>
      <c r="D356" s="4">
        <f t="shared" si="11"/>
        <v>1077.7884491827506</v>
      </c>
      <c r="E356" s="3">
        <f t="shared" si="12"/>
        <v>7463.446458717679</v>
      </c>
    </row>
    <row r="357" spans="1:5" x14ac:dyDescent="0.25">
      <c r="A357">
        <v>354</v>
      </c>
      <c r="B357" s="4">
        <f>-PPMT('With Loan'!$D$41/12,'30% Down Amortization'!$A357,360,'With Loan'!$D$40,0,0)</f>
        <v>1057.5749483570564</v>
      </c>
      <c r="C357" s="4">
        <f>-IPMT('With Loan'!$D$41/12,'30% Down Amortization'!$A357,360,'With Loan'!$D$40,0,0)</f>
        <v>20.21350082569413</v>
      </c>
      <c r="D357" s="4">
        <f t="shared" si="11"/>
        <v>1077.7884491827506</v>
      </c>
      <c r="E357" s="3">
        <f t="shared" si="12"/>
        <v>6405.8715103606228</v>
      </c>
    </row>
    <row r="358" spans="1:5" x14ac:dyDescent="0.25">
      <c r="A358">
        <v>355</v>
      </c>
      <c r="B358" s="4">
        <f>-PPMT('With Loan'!$D$41/12,'30% Down Amortization'!$A358,360,'With Loan'!$D$40,0,0)</f>
        <v>1060.4392138421899</v>
      </c>
      <c r="C358" s="4">
        <f>-IPMT('With Loan'!$D$41/12,'30% Down Amortization'!$A358,360,'With Loan'!$D$40,0,0)</f>
        <v>17.349235340560433</v>
      </c>
      <c r="D358" s="4">
        <f t="shared" si="11"/>
        <v>1077.7884491827504</v>
      </c>
      <c r="E358" s="3">
        <f t="shared" si="12"/>
        <v>5345.4322965184328</v>
      </c>
    </row>
    <row r="359" spans="1:5" x14ac:dyDescent="0.25">
      <c r="A359">
        <v>356</v>
      </c>
      <c r="B359" s="4">
        <f>-PPMT('With Loan'!$D$41/12,'30% Down Amortization'!$A359,360,'With Loan'!$D$40,0,0)</f>
        <v>1063.3112367130127</v>
      </c>
      <c r="C359" s="4">
        <f>-IPMT('With Loan'!$D$41/12,'30% Down Amortization'!$A359,360,'With Loan'!$D$40,0,0)</f>
        <v>14.477212469737834</v>
      </c>
      <c r="D359" s="4">
        <f t="shared" si="11"/>
        <v>1077.7884491827506</v>
      </c>
      <c r="E359" s="3">
        <f t="shared" si="12"/>
        <v>4282.1210598054204</v>
      </c>
    </row>
    <row r="360" spans="1:5" x14ac:dyDescent="0.25">
      <c r="A360">
        <v>357</v>
      </c>
      <c r="B360" s="4">
        <f>-PPMT('With Loan'!$D$41/12,'30% Down Amortization'!$A360,360,'With Loan'!$D$40,0,0)</f>
        <v>1066.1910379791104</v>
      </c>
      <c r="C360" s="4">
        <f>-IPMT('With Loan'!$D$41/12,'30% Down Amortization'!$A360,360,'With Loan'!$D$40,0,0)</f>
        <v>11.597411203640092</v>
      </c>
      <c r="D360" s="4">
        <f t="shared" si="11"/>
        <v>1077.7884491827506</v>
      </c>
      <c r="E360" s="3">
        <f t="shared" si="12"/>
        <v>3215.9300218263097</v>
      </c>
    </row>
    <row r="361" spans="1:5" x14ac:dyDescent="0.25">
      <c r="A361">
        <v>358</v>
      </c>
      <c r="B361" s="4">
        <f>-PPMT('With Loan'!$D$41/12,'30% Down Amortization'!$A361,360,'With Loan'!$D$40,0,0)</f>
        <v>1069.0786387069704</v>
      </c>
      <c r="C361" s="4">
        <f>-IPMT('With Loan'!$D$41/12,'30% Down Amortization'!$A361,360,'With Loan'!$D$40,0,0)</f>
        <v>8.709810475780003</v>
      </c>
      <c r="D361" s="4">
        <f t="shared" si="11"/>
        <v>1077.7884491827504</v>
      </c>
      <c r="E361" s="3">
        <f t="shared" si="12"/>
        <v>2146.8513831193395</v>
      </c>
    </row>
    <row r="362" spans="1:5" x14ac:dyDescent="0.25">
      <c r="A362">
        <v>359</v>
      </c>
      <c r="B362" s="4">
        <f>-PPMT('With Loan'!$D$41/12,'30% Down Amortization'!$A362,360,'With Loan'!$D$40,0,0)</f>
        <v>1071.9740600201351</v>
      </c>
      <c r="C362" s="4">
        <f>-IPMT('With Loan'!$D$41/12,'30% Down Amortization'!$A362,360,'With Loan'!$D$40,0,0)</f>
        <v>5.8143891626152895</v>
      </c>
      <c r="D362" s="4">
        <f t="shared" si="11"/>
        <v>1077.7884491827504</v>
      </c>
      <c r="E362" s="3">
        <f t="shared" si="12"/>
        <v>1074.8773230992044</v>
      </c>
    </row>
    <row r="363" spans="1:5" x14ac:dyDescent="0.25">
      <c r="A363">
        <v>360</v>
      </c>
      <c r="B363" s="4">
        <f>-PPMT('With Loan'!$D$41/12,'30% Down Amortization'!$A363,360,'With Loan'!$D$40,0,0)</f>
        <v>1074.8773230993565</v>
      </c>
      <c r="C363" s="4">
        <f>-IPMT('With Loan'!$D$41/12,'30% Down Amortization'!$A363,360,'With Loan'!$D$40,0,0)</f>
        <v>2.9111260833940902</v>
      </c>
      <c r="D363" s="4">
        <f t="shared" si="11"/>
        <v>1077.7884491827506</v>
      </c>
      <c r="E363" s="3">
        <f t="shared" si="12"/>
        <v>-1.5211298887152225E-10</v>
      </c>
    </row>
  </sheetData>
  <sheetProtection algorithmName="SHA-512" hashValue="eN2M69IgExmqdA6292O9JyWvXwiKhotCCTGe2CZcEW4tenJhwcGGXj+CMM/W23PNLANj/hW4hlyTDtXfjHQk8g==" saltValue="0U48QsPD6q3TBM1dMinshg==" spinCount="100000" sheet="1" objects="1" scenarios="1"/>
  <mergeCells count="1">
    <mergeCell ref="A1:C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9c8e6ef-adaa-44cf-b33b-1c02ae1fb283">
      <Terms xmlns="http://schemas.microsoft.com/office/infopath/2007/PartnerControls"/>
    </lcf76f155ced4ddcb4097134ff3c332f>
    <TaxCatchAll xmlns="805d0126-7d6a-4874-a9c2-f0732c30a51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169DB59EED59A4B9D2A41DA9F049753" ma:contentTypeVersion="12" ma:contentTypeDescription="Create a new document." ma:contentTypeScope="" ma:versionID="10daa5fe7a13f710b5c0137b8e5e4a7d">
  <xsd:schema xmlns:xsd="http://www.w3.org/2001/XMLSchema" xmlns:xs="http://www.w3.org/2001/XMLSchema" xmlns:p="http://schemas.microsoft.com/office/2006/metadata/properties" xmlns:ns2="b9c8e6ef-adaa-44cf-b33b-1c02ae1fb283" xmlns:ns3="805d0126-7d6a-4874-a9c2-f0732c30a516" targetNamespace="http://schemas.microsoft.com/office/2006/metadata/properties" ma:root="true" ma:fieldsID="c693afb7f82b4a8c7950f8d1819967bf" ns2:_="" ns3:_="">
    <xsd:import namespace="b9c8e6ef-adaa-44cf-b33b-1c02ae1fb283"/>
    <xsd:import namespace="805d0126-7d6a-4874-a9c2-f0732c30a51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c8e6ef-adaa-44cf-b33b-1c02ae1fb2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9da262b3-c911-4d7a-9ca6-09044c850c1b"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05d0126-7d6a-4874-a9c2-f0732c30a516"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f59b90d9-d3c0-41b0-b8aa-c01cee2ad5eb}" ma:internalName="TaxCatchAll" ma:showField="CatchAllData" ma:web="805d0126-7d6a-4874-a9c2-f0732c30a5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32D972-31B8-466B-822A-61C798CAA031}">
  <ds:schemaRefs>
    <ds:schemaRef ds:uri="http://www.w3.org/XML/1998/namespace"/>
    <ds:schemaRef ds:uri="http://purl.org/dc/dcmitype/"/>
    <ds:schemaRef ds:uri="http://purl.org/dc/elements/1.1/"/>
    <ds:schemaRef ds:uri="http://purl.org/dc/terms/"/>
    <ds:schemaRef ds:uri="http://schemas.microsoft.com/office/2006/metadata/properties"/>
    <ds:schemaRef ds:uri="805d0126-7d6a-4874-a9c2-f0732c30a516"/>
    <ds:schemaRef ds:uri="http://schemas.microsoft.com/office/2006/documentManagement/types"/>
    <ds:schemaRef ds:uri="http://schemas.microsoft.com/office/infopath/2007/PartnerControls"/>
    <ds:schemaRef ds:uri="http://schemas.openxmlformats.org/package/2006/metadata/core-properties"/>
    <ds:schemaRef ds:uri="b9c8e6ef-adaa-44cf-b33b-1c02ae1fb283"/>
  </ds:schemaRefs>
</ds:datastoreItem>
</file>

<file path=customXml/itemProps2.xml><?xml version="1.0" encoding="utf-8"?>
<ds:datastoreItem xmlns:ds="http://schemas.openxmlformats.org/officeDocument/2006/customXml" ds:itemID="{9AEB526E-F57E-4156-A7ED-32FAF0A210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9c8e6ef-adaa-44cf-b33b-1c02ae1fb283"/>
    <ds:schemaRef ds:uri="805d0126-7d6a-4874-a9c2-f0732c30a5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5753417-07D2-4AAC-920E-09C8248A92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Summary</vt:lpstr>
      <vt:lpstr>All Cash</vt:lpstr>
      <vt:lpstr>With Loan</vt:lpstr>
      <vt:lpstr>Owner Occupier</vt:lpstr>
      <vt:lpstr>Closing Costs</vt:lpstr>
      <vt:lpstr>FHA Amotization</vt:lpstr>
      <vt:lpstr>DAta</vt:lpstr>
      <vt:lpstr>30% Down Amortization</vt:lpstr>
      <vt:lpstr>'All Cash'!Print_Area</vt:lpstr>
      <vt:lpstr>'Owner Occupier'!Print_Area</vt:lpstr>
      <vt:lpstr>'With Loan'!Print_Area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Patrick Flanagin</dc:creator>
  <cp:keywords/>
  <dc:description/>
  <cp:lastModifiedBy>Martin Rico</cp:lastModifiedBy>
  <cp:revision/>
  <cp:lastPrinted>2025-08-01T16:52:13Z</cp:lastPrinted>
  <dcterms:created xsi:type="dcterms:W3CDTF">2025-02-11T03:30:30Z</dcterms:created>
  <dcterms:modified xsi:type="dcterms:W3CDTF">2025-08-04T15:50:26Z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0x010100F169DB59EED59A4B9D2A41DA9F049753</vt:lpwstr>
  </property>
  <property fmtid="{D5CDD505-2E9C-101B-9397-08002B2CF9AE}" pid="3" name="MediaServiceImageTags">
    <vt:lpwstr/>
  </property>
</Properties>
</file>