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rosehavenhomesusa.sharepoint.com/sites/SalesGroup/Shared Documents/Projects/Montgomery Village/Proforma/_Old Files/"/>
    </mc:Choice>
  </mc:AlternateContent>
  <xr:revisionPtr revIDLastSave="3" documentId="8_{C804F51B-EB64-4E15-8CF5-1062E9AC9301}" xr6:coauthVersionLast="47" xr6:coauthVersionMax="47" xr10:uidLastSave="{39BF8C28-0476-4C13-A28B-063DC7D4F514}"/>
  <bookViews>
    <workbookView xWindow="-120" yWindow="-120" windowWidth="29040" windowHeight="15720" tabRatio="654" xr2:uid="{6086E9DB-5E13-46D6-AE57-AADA5638DA8C}"/>
  </bookViews>
  <sheets>
    <sheet name="Summary" sheetId="12" r:id="rId1"/>
    <sheet name="All Cash" sheetId="8" r:id="rId2"/>
    <sheet name="With Loan" sheetId="6" r:id="rId3"/>
    <sheet name="Owner Occupier" sheetId="10" r:id="rId4"/>
    <sheet name="Closing Costs" sheetId="3" state="hidden" r:id="rId5"/>
    <sheet name="FHA Amotization" sheetId="11" state="hidden" r:id="rId6"/>
    <sheet name="DAta" sheetId="2" state="hidden" r:id="rId7"/>
    <sheet name="30% Down Amortization" sheetId="4" state="hidden" r:id="rId8"/>
  </sheets>
  <definedNames>
    <definedName name="_xlnm._FilterDatabase" localSheetId="7" hidden="1">'30% Down Amortization'!#REF!</definedName>
    <definedName name="_xlnm._FilterDatabase" localSheetId="5" hidden="1">'FHA Amotization'!#REF!</definedName>
    <definedName name="_xlnm.Print_Area" localSheetId="1">'All Cash'!$B$1:$I$59</definedName>
    <definedName name="_xlnm.Print_Area" localSheetId="3">'Owner Occupier'!$B$1:$I$60</definedName>
    <definedName name="_xlnm.Print_Area" localSheetId="2">'With Loan'!$B$1:$I$59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2" l="1"/>
  <c r="E11" i="12"/>
  <c r="C35" i="6"/>
  <c r="H31" i="8"/>
  <c r="Q35" i="8"/>
  <c r="H30" i="10"/>
  <c r="Q35" i="10"/>
  <c r="E35" i="12"/>
  <c r="E36" i="12"/>
  <c r="D35" i="12"/>
  <c r="D36" i="12"/>
  <c r="C34" i="12"/>
  <c r="C35" i="12"/>
  <c r="C33" i="12"/>
  <c r="D34" i="10"/>
  <c r="I41" i="10"/>
  <c r="H31" i="10"/>
  <c r="G32" i="10"/>
  <c r="H24" i="10"/>
  <c r="D55" i="10"/>
  <c r="E55" i="10"/>
  <c r="D41" i="10"/>
  <c r="C35" i="10"/>
  <c r="D24" i="10"/>
  <c r="H32" i="6"/>
  <c r="G33" i="6"/>
  <c r="H31" i="6"/>
  <c r="H24" i="6"/>
  <c r="D41" i="6"/>
  <c r="D34" i="6"/>
  <c r="D46" i="6"/>
  <c r="H32" i="8"/>
  <c r="H24" i="8"/>
  <c r="I24" i="8"/>
  <c r="D34" i="8"/>
  <c r="I47" i="8"/>
  <c r="D51" i="10"/>
  <c r="E51" i="10"/>
  <c r="E48" i="10"/>
  <c r="D42" i="8"/>
  <c r="E42" i="8"/>
  <c r="E41" i="8"/>
  <c r="Y17" i="6"/>
  <c r="Y35" i="6"/>
  <c r="Y33" i="6"/>
  <c r="Y16" i="6"/>
  <c r="Y7" i="6"/>
  <c r="Y18" i="6"/>
  <c r="Y34" i="6"/>
  <c r="Y32" i="6"/>
  <c r="Y15" i="6"/>
  <c r="Y23" i="6"/>
  <c r="Y31" i="6"/>
  <c r="Y14" i="6"/>
  <c r="Y24" i="6"/>
  <c r="Y22" i="6"/>
  <c r="Y19" i="6"/>
  <c r="Y30" i="6"/>
  <c r="Y13" i="6"/>
  <c r="Y29" i="6"/>
  <c r="Y12" i="6"/>
  <c r="Y20" i="6"/>
  <c r="Y28" i="6"/>
  <c r="Y10" i="6"/>
  <c r="Y26" i="6"/>
  <c r="Y9" i="6"/>
  <c r="Y36" i="6"/>
  <c r="Y11" i="6"/>
  <c r="Y27" i="6"/>
  <c r="Y25" i="6"/>
  <c r="Y8" i="6"/>
  <c r="D53" i="10"/>
  <c r="E53" i="10"/>
  <c r="D46" i="10"/>
  <c r="E46" i="10"/>
  <c r="Z23" i="6"/>
  <c r="Z24" i="6"/>
  <c r="Z25" i="6"/>
  <c r="Z35" i="6"/>
  <c r="Z26" i="6"/>
  <c r="Z27" i="6"/>
  <c r="Z28" i="6"/>
  <c r="Z29" i="6"/>
  <c r="Z30" i="6"/>
  <c r="Z31" i="6"/>
  <c r="Z22" i="6"/>
  <c r="Z32" i="6"/>
  <c r="Z33" i="6"/>
  <c r="Z34" i="6"/>
  <c r="Z36" i="6"/>
  <c r="Z31" i="8"/>
  <c r="Z30" i="8"/>
  <c r="Z29" i="8"/>
  <c r="Z28" i="8"/>
  <c r="Z27" i="8"/>
  <c r="Z26" i="8"/>
  <c r="Z22" i="8"/>
  <c r="Y7" i="8"/>
  <c r="Y36" i="8"/>
  <c r="Y35" i="8"/>
  <c r="Y26" i="8"/>
  <c r="Y25" i="8"/>
  <c r="Y23" i="8"/>
  <c r="Y15" i="8"/>
  <c r="Y24" i="8"/>
  <c r="Y22" i="8"/>
  <c r="Y17" i="8"/>
  <c r="Y14" i="8"/>
  <c r="Y16" i="8"/>
  <c r="Z32" i="8"/>
  <c r="Y13" i="8"/>
  <c r="Y34" i="8"/>
  <c r="Y33" i="8"/>
  <c r="Y28" i="8"/>
  <c r="Y27" i="8"/>
  <c r="Y19" i="8"/>
  <c r="Z25" i="8"/>
  <c r="Y20" i="8"/>
  <c r="Z24" i="8"/>
  <c r="Z23" i="8"/>
  <c r="Y18" i="8"/>
  <c r="Y12" i="8"/>
  <c r="Z36" i="8"/>
  <c r="Y32" i="8"/>
  <c r="Y11" i="8"/>
  <c r="Z35" i="8"/>
  <c r="Y31" i="8"/>
  <c r="Y10" i="8"/>
  <c r="Z34" i="8"/>
  <c r="Y30" i="8"/>
  <c r="Y9" i="8"/>
  <c r="Z33" i="8"/>
  <c r="Y29" i="8"/>
  <c r="Y8" i="8"/>
  <c r="G33" i="8"/>
  <c r="D40" i="8"/>
  <c r="E40" i="8"/>
  <c r="Q17" i="10"/>
  <c r="Q14" i="10"/>
  <c r="Q15" i="10"/>
  <c r="Q32" i="10"/>
  <c r="R16" i="10"/>
  <c r="R8" i="10"/>
  <c r="Q36" i="8"/>
  <c r="R32" i="10"/>
  <c r="D35" i="8"/>
  <c r="D38" i="8"/>
  <c r="D24" i="8"/>
  <c r="R36" i="8"/>
  <c r="Q36" i="10"/>
  <c r="Q10" i="10"/>
  <c r="C36" i="12"/>
  <c r="H33" i="8"/>
  <c r="Q16" i="10"/>
  <c r="Q33" i="10"/>
  <c r="Q7" i="8"/>
  <c r="Q18" i="10"/>
  <c r="Q11" i="8"/>
  <c r="Q19" i="10"/>
  <c r="Q15" i="8"/>
  <c r="Q20" i="10"/>
  <c r="Q21" i="8"/>
  <c r="Q7" i="10"/>
  <c r="Q22" i="10"/>
  <c r="Q22" i="8"/>
  <c r="Q8" i="10"/>
  <c r="Q23" i="10"/>
  <c r="Q19" i="8"/>
  <c r="Q21" i="10"/>
  <c r="Q23" i="8"/>
  <c r="Q9" i="10"/>
  <c r="Q24" i="10"/>
  <c r="Q30" i="8"/>
  <c r="Q12" i="10"/>
  <c r="Q26" i="10"/>
  <c r="Q26" i="8"/>
  <c r="Q11" i="10"/>
  <c r="Q25" i="10"/>
  <c r="Q34" i="8"/>
  <c r="Q13" i="10"/>
  <c r="Q28" i="10"/>
  <c r="D35" i="10"/>
  <c r="H32" i="10"/>
  <c r="E22" i="12"/>
  <c r="Q27" i="10"/>
  <c r="Q29" i="10"/>
  <c r="Q30" i="10"/>
  <c r="Q31" i="10"/>
  <c r="Q34" i="10"/>
  <c r="R34" i="10"/>
  <c r="Q24" i="8"/>
  <c r="Q9" i="8"/>
  <c r="Q8" i="8"/>
  <c r="Q10" i="8"/>
  <c r="Q25" i="8"/>
  <c r="Q12" i="8"/>
  <c r="Q27" i="8"/>
  <c r="Q13" i="8"/>
  <c r="Q28" i="8"/>
  <c r="Q14" i="8"/>
  <c r="Q29" i="8"/>
  <c r="Q16" i="8"/>
  <c r="Q17" i="8"/>
  <c r="Q32" i="8"/>
  <c r="Q31" i="8"/>
  <c r="Q18" i="8"/>
  <c r="Q33" i="8"/>
  <c r="Q20" i="8"/>
  <c r="H25" i="8"/>
  <c r="R29" i="10"/>
  <c r="R14" i="10"/>
  <c r="R31" i="10"/>
  <c r="R10" i="10"/>
  <c r="R26" i="10"/>
  <c r="R36" i="10"/>
  <c r="R22" i="10"/>
  <c r="R20" i="10"/>
  <c r="R18" i="10"/>
  <c r="R12" i="10"/>
  <c r="D54" i="10"/>
  <c r="R35" i="10"/>
  <c r="R7" i="10"/>
  <c r="R11" i="10"/>
  <c r="R15" i="10"/>
  <c r="R19" i="10"/>
  <c r="R23" i="10"/>
  <c r="R30" i="10"/>
  <c r="I24" i="10"/>
  <c r="R33" i="10"/>
  <c r="R28" i="10"/>
  <c r="R9" i="10"/>
  <c r="R13" i="10"/>
  <c r="R17" i="10"/>
  <c r="R21" i="10"/>
  <c r="R25" i="10"/>
  <c r="R27" i="10"/>
  <c r="R24" i="10"/>
  <c r="I48"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R35" i="8"/>
  <c r="H36" i="8"/>
  <c r="C22" i="12"/>
  <c r="R26" i="8"/>
  <c r="X6" i="8"/>
  <c r="Z6" i="8"/>
  <c r="D46" i="8"/>
  <c r="E46" i="8"/>
  <c r="D44" i="8"/>
  <c r="E44" i="8"/>
  <c r="R19" i="8"/>
  <c r="R17" i="8"/>
  <c r="R15" i="8"/>
  <c r="R28" i="8"/>
  <c r="R31" i="8"/>
  <c r="R21" i="8"/>
  <c r="R24" i="8"/>
  <c r="R16" i="8"/>
  <c r="R14" i="8"/>
  <c r="R12" i="8"/>
  <c r="R10" i="8"/>
  <c r="R8" i="8"/>
  <c r="R29" i="8"/>
  <c r="R34" i="8"/>
  <c r="R32" i="8"/>
  <c r="R27" i="8"/>
  <c r="R30" i="8"/>
  <c r="R23" i="8"/>
  <c r="D30" i="10"/>
  <c r="D45" i="8"/>
  <c r="E45" i="8"/>
  <c r="R11" i="8"/>
  <c r="R7" i="8"/>
  <c r="T25" i="8"/>
  <c r="R33" i="8"/>
  <c r="R25" i="8"/>
  <c r="R22" i="8"/>
  <c r="R13" i="8"/>
  <c r="R20" i="8"/>
  <c r="R9" i="8"/>
  <c r="R18" i="8"/>
  <c r="I25" i="8"/>
  <c r="H36" i="10"/>
  <c r="D40" i="10"/>
  <c r="E54" i="10"/>
  <c r="D52" i="10"/>
  <c r="T24" i="10"/>
  <c r="T22" i="10"/>
  <c r="T20" i="10"/>
  <c r="T18" i="10"/>
  <c r="T16" i="10"/>
  <c r="T14" i="10"/>
  <c r="T12" i="10"/>
  <c r="T10" i="10"/>
  <c r="T8" i="10"/>
  <c r="T29" i="10"/>
  <c r="T34" i="10"/>
  <c r="T21" i="10"/>
  <c r="T17" i="10"/>
  <c r="T11" i="10"/>
  <c r="T28" i="10"/>
  <c r="T32" i="10"/>
  <c r="T27" i="10"/>
  <c r="T23" i="10"/>
  <c r="T15" i="10"/>
  <c r="T7" i="10"/>
  <c r="T35" i="10"/>
  <c r="T33" i="10"/>
  <c r="T25" i="10"/>
  <c r="T30" i="10"/>
  <c r="T19" i="10"/>
  <c r="T13" i="10"/>
  <c r="T9" i="10"/>
  <c r="T26" i="10"/>
  <c r="T31" i="10"/>
  <c r="T36" i="10"/>
  <c r="D25" i="10"/>
  <c r="P26" i="8"/>
  <c r="P31" i="8"/>
  <c r="P24" i="8"/>
  <c r="P22" i="8"/>
  <c r="P20" i="8"/>
  <c r="P18" i="8"/>
  <c r="P16" i="8"/>
  <c r="P14" i="8"/>
  <c r="P12" i="8"/>
  <c r="P10" i="8"/>
  <c r="P8" i="8"/>
  <c r="P29" i="8"/>
  <c r="P34" i="8"/>
  <c r="P32" i="8"/>
  <c r="D26" i="8"/>
  <c r="C19" i="12"/>
  <c r="P25" i="8"/>
  <c r="P35" i="8"/>
  <c r="P28" i="8"/>
  <c r="P33" i="8"/>
  <c r="P30" i="8"/>
  <c r="P23" i="8"/>
  <c r="P21" i="8"/>
  <c r="P19" i="8"/>
  <c r="P17" i="8"/>
  <c r="P15" i="8"/>
  <c r="P13" i="8"/>
  <c r="P11" i="8"/>
  <c r="P9" i="8"/>
  <c r="P7" i="8"/>
  <c r="P36" i="8"/>
  <c r="P27" i="8"/>
  <c r="D50" i="6"/>
  <c r="E50" i="6"/>
  <c r="H25" i="6"/>
  <c r="I24" i="6"/>
  <c r="E47" i="6"/>
  <c r="C19" i="3"/>
  <c r="A8" i="3"/>
  <c r="C6" i="3"/>
  <c r="C16" i="3"/>
  <c r="E52" i="10"/>
  <c r="D52" i="6"/>
  <c r="E52" i="6"/>
  <c r="D25" i="8"/>
  <c r="C18" i="12"/>
  <c r="T26" i="8"/>
  <c r="V26" i="8"/>
  <c r="T33" i="8"/>
  <c r="V33" i="8"/>
  <c r="T7" i="8"/>
  <c r="V7" i="8"/>
  <c r="T9" i="8"/>
  <c r="V9" i="8"/>
  <c r="T23" i="8"/>
  <c r="V23" i="8"/>
  <c r="T28" i="8"/>
  <c r="V28" i="8"/>
  <c r="T32" i="8"/>
  <c r="V32" i="8"/>
  <c r="T29" i="8"/>
  <c r="V29" i="8"/>
  <c r="V17" i="10"/>
  <c r="V27" i="10"/>
  <c r="V28" i="10"/>
  <c r="V11" i="10"/>
  <c r="V21" i="10"/>
  <c r="V31" i="10"/>
  <c r="V14" i="10"/>
  <c r="V18" i="10"/>
  <c r="V20" i="10"/>
  <c r="V24" i="10"/>
  <c r="V23" i="10"/>
  <c r="V36" i="10"/>
  <c r="V26" i="10"/>
  <c r="V9" i="10"/>
  <c r="V13" i="10"/>
  <c r="V19" i="10"/>
  <c r="V30" i="10"/>
  <c r="V22" i="10"/>
  <c r="V7" i="10"/>
  <c r="V32" i="10"/>
  <c r="V34" i="10"/>
  <c r="V29" i="10"/>
  <c r="V8" i="10"/>
  <c r="V10" i="10"/>
  <c r="V12" i="10"/>
  <c r="V16" i="10"/>
  <c r="V25" i="10"/>
  <c r="V33" i="10"/>
  <c r="V35" i="10"/>
  <c r="V15" i="10"/>
  <c r="V25" i="8"/>
  <c r="T10" i="8"/>
  <c r="V10" i="8"/>
  <c r="T35" i="8"/>
  <c r="V35" i="8"/>
  <c r="T27" i="8"/>
  <c r="V27" i="8"/>
  <c r="T8" i="8"/>
  <c r="V8" i="8"/>
  <c r="T24" i="8"/>
  <c r="V24" i="8"/>
  <c r="T34" i="8"/>
  <c r="V34" i="8"/>
  <c r="D43" i="8"/>
  <c r="T13" i="8"/>
  <c r="V13" i="8"/>
  <c r="T14" i="8"/>
  <c r="V14" i="8"/>
  <c r="T12" i="8"/>
  <c r="V12" i="8"/>
  <c r="T15" i="8"/>
  <c r="V15" i="8"/>
  <c r="T17" i="8"/>
  <c r="V17" i="8"/>
  <c r="T18" i="8"/>
  <c r="V18" i="8"/>
  <c r="T11" i="8"/>
  <c r="V11" i="8"/>
  <c r="T19" i="8"/>
  <c r="V19" i="8"/>
  <c r="T20" i="8"/>
  <c r="V20" i="8"/>
  <c r="T16" i="8"/>
  <c r="V16" i="8"/>
  <c r="T21" i="8"/>
  <c r="V21" i="8"/>
  <c r="Y21" i="8"/>
  <c r="T22" i="8"/>
  <c r="V22" i="8"/>
  <c r="T30" i="8"/>
  <c r="V30" i="8"/>
  <c r="T36" i="8"/>
  <c r="V36" i="8"/>
  <c r="T31" i="8"/>
  <c r="V31" i="8"/>
  <c r="E18" i="12"/>
  <c r="B25" i="11"/>
  <c r="B145" i="11"/>
  <c r="C146" i="11"/>
  <c r="B201" i="11"/>
  <c r="B213" i="11"/>
  <c r="B214" i="11"/>
  <c r="C214" i="11"/>
  <c r="B265" i="11"/>
  <c r="C314" i="11"/>
  <c r="B127" i="11"/>
  <c r="C127" i="11"/>
  <c r="C128" i="11"/>
  <c r="B129" i="11"/>
  <c r="C105" i="11"/>
  <c r="C28" i="11"/>
  <c r="C339" i="11"/>
  <c r="B323" i="11"/>
  <c r="B306" i="11"/>
  <c r="C245" i="11"/>
  <c r="C227" i="11"/>
  <c r="C205" i="11"/>
  <c r="B187" i="11"/>
  <c r="B164" i="11"/>
  <c r="C46" i="11"/>
  <c r="B106" i="11"/>
  <c r="C156" i="11"/>
  <c r="C25" i="11"/>
  <c r="C164" i="11"/>
  <c r="C251" i="11"/>
  <c r="C24" i="11"/>
  <c r="C168" i="11"/>
  <c r="C288" i="11"/>
  <c r="C66" i="11"/>
  <c r="C261" i="11"/>
  <c r="C35" i="11"/>
  <c r="B18" i="11"/>
  <c r="B48" i="11"/>
  <c r="B179" i="11"/>
  <c r="B40" i="11"/>
  <c r="B200" i="11"/>
  <c r="B360" i="11"/>
  <c r="C170" i="11"/>
  <c r="C340" i="11"/>
  <c r="B11" i="11"/>
  <c r="B112" i="11"/>
  <c r="B272" i="11"/>
  <c r="C62" i="11"/>
  <c r="C222" i="11"/>
  <c r="B23" i="11"/>
  <c r="C93" i="11"/>
  <c r="C253" i="11"/>
  <c r="C298" i="11"/>
  <c r="C77" i="11"/>
  <c r="S10" i="10"/>
  <c r="B284" i="11"/>
  <c r="C15" i="11"/>
  <c r="C111" i="11"/>
  <c r="B10" i="11"/>
  <c r="B161" i="11"/>
  <c r="C63" i="11"/>
  <c r="B69" i="11"/>
  <c r="C161" i="11"/>
  <c r="C277" i="11"/>
  <c r="B20" i="11"/>
  <c r="C202" i="11"/>
  <c r="B103" i="11"/>
  <c r="B216" i="11"/>
  <c r="B350" i="11"/>
  <c r="C256" i="11"/>
  <c r="C147" i="11"/>
  <c r="B148" i="11"/>
  <c r="C148" i="11"/>
  <c r="B149" i="11"/>
  <c r="C129" i="11"/>
  <c r="B8" i="11"/>
  <c r="B359" i="11"/>
  <c r="B341" i="11"/>
  <c r="B324" i="11"/>
  <c r="C267" i="11"/>
  <c r="C247" i="11"/>
  <c r="B228" i="11"/>
  <c r="C209" i="11"/>
  <c r="B211" i="11"/>
  <c r="B311" i="11"/>
  <c r="B235" i="11"/>
  <c r="C91" i="11"/>
  <c r="B237" i="11"/>
  <c r="B94" i="11"/>
  <c r="B238" i="11"/>
  <c r="C7" i="11"/>
  <c r="C155" i="11"/>
  <c r="B276" i="11"/>
  <c r="C49" i="11"/>
  <c r="B248" i="11"/>
  <c r="C18" i="11"/>
  <c r="C259" i="11"/>
  <c r="C34" i="11"/>
  <c r="B166" i="11"/>
  <c r="B50" i="11"/>
  <c r="B210" i="11"/>
  <c r="C10" i="11"/>
  <c r="C180" i="11"/>
  <c r="C350" i="11"/>
  <c r="B71" i="11"/>
  <c r="B122" i="11"/>
  <c r="B282" i="11"/>
  <c r="C72" i="11"/>
  <c r="C232" i="11"/>
  <c r="B33" i="11"/>
  <c r="C103" i="11"/>
  <c r="C263" i="11"/>
  <c r="B286" i="11"/>
  <c r="B64" i="11"/>
  <c r="S12" i="10"/>
  <c r="C266" i="11"/>
  <c r="B185" i="11"/>
  <c r="C116" i="11"/>
  <c r="C89" i="11"/>
  <c r="C117" i="11"/>
  <c r="B44" i="11"/>
  <c r="C291" i="11"/>
  <c r="B209" i="11"/>
  <c r="C95" i="11"/>
  <c r="C140" i="11"/>
  <c r="B242" i="11"/>
  <c r="S17" i="10"/>
  <c r="C76" i="11"/>
  <c r="B288" i="11"/>
  <c r="C42" i="11"/>
  <c r="B105" i="11"/>
  <c r="B143" i="11"/>
  <c r="C81" i="11"/>
  <c r="C270" i="11"/>
  <c r="B256" i="11"/>
  <c r="C274" i="11"/>
  <c r="C174" i="11"/>
  <c r="B175" i="11"/>
  <c r="C175" i="11"/>
  <c r="B176" i="11"/>
  <c r="B156" i="11"/>
  <c r="B29" i="11"/>
  <c r="C8" i="11"/>
  <c r="C359" i="11"/>
  <c r="C344" i="11"/>
  <c r="C285" i="11"/>
  <c r="B268" i="11"/>
  <c r="C249" i="11"/>
  <c r="C228" i="11"/>
  <c r="B229" i="11"/>
  <c r="C121" i="11"/>
  <c r="C101" i="11"/>
  <c r="C131" i="11"/>
  <c r="B174" i="11"/>
  <c r="B334" i="11"/>
  <c r="C225" i="11"/>
  <c r="C356" i="11"/>
  <c r="C139" i="11"/>
  <c r="B263" i="11"/>
  <c r="B36" i="11"/>
  <c r="C235" i="11"/>
  <c r="B5" i="11"/>
  <c r="B247" i="11"/>
  <c r="C17" i="11"/>
  <c r="C151" i="11"/>
  <c r="B60" i="11"/>
  <c r="B220" i="11"/>
  <c r="C20" i="11"/>
  <c r="C190" i="11"/>
  <c r="C360" i="11"/>
  <c r="B111" i="11"/>
  <c r="B132" i="11"/>
  <c r="B292" i="11"/>
  <c r="C82" i="11"/>
  <c r="C242" i="11"/>
  <c r="B43" i="11"/>
  <c r="C113" i="11"/>
  <c r="C273" i="11"/>
  <c r="B273" i="11"/>
  <c r="B47" i="11"/>
  <c r="S14" i="10"/>
  <c r="B56" i="11"/>
  <c r="B77" i="11"/>
  <c r="B277" i="11"/>
  <c r="C48" i="11"/>
  <c r="B252" i="11"/>
  <c r="B227" i="11"/>
  <c r="C265" i="11"/>
  <c r="B65" i="11"/>
  <c r="C243" i="11"/>
  <c r="B215" i="11"/>
  <c r="C271" i="11"/>
  <c r="B197" i="11"/>
  <c r="C197" i="11"/>
  <c r="C198" i="11"/>
  <c r="B199" i="11"/>
  <c r="C176" i="11"/>
  <c r="C57" i="11"/>
  <c r="C29" i="11"/>
  <c r="B9" i="11"/>
  <c r="B361" i="11"/>
  <c r="C306" i="11"/>
  <c r="B287" i="11"/>
  <c r="C268" i="11"/>
  <c r="B251" i="11"/>
  <c r="B253" i="11"/>
  <c r="C45" i="11"/>
  <c r="B348" i="11"/>
  <c r="B46" i="11"/>
  <c r="C348" i="11"/>
  <c r="B333" i="11"/>
  <c r="C211" i="11"/>
  <c r="B344" i="11"/>
  <c r="C126" i="11"/>
  <c r="C248" i="11"/>
  <c r="B19" i="11"/>
  <c r="C221" i="11"/>
  <c r="C207" i="11"/>
  <c r="C234" i="11"/>
  <c r="B354" i="11"/>
  <c r="B137" i="11"/>
  <c r="B70" i="11"/>
  <c r="B230" i="11"/>
  <c r="C30" i="11"/>
  <c r="C200" i="11"/>
  <c r="B21" i="11"/>
  <c r="B131" i="11"/>
  <c r="B142" i="11"/>
  <c r="B302" i="11"/>
  <c r="C92" i="11"/>
  <c r="C252" i="11"/>
  <c r="B53" i="11"/>
  <c r="C123" i="11"/>
  <c r="C283" i="11"/>
  <c r="C258" i="11"/>
  <c r="C31" i="11"/>
  <c r="S9" i="10"/>
  <c r="S16" i="10"/>
  <c r="B28" i="11"/>
  <c r="B24" i="11"/>
  <c r="C68" i="11"/>
  <c r="C301" i="11"/>
  <c r="B170" i="11"/>
  <c r="C310" i="11"/>
  <c r="C352" i="11"/>
  <c r="C204" i="11"/>
  <c r="B55" i="11"/>
  <c r="C90" i="11"/>
  <c r="B205" i="11"/>
  <c r="B184" i="11"/>
  <c r="C160" i="11"/>
  <c r="C94" i="11"/>
  <c r="C144" i="11"/>
  <c r="C216" i="11"/>
  <c r="B217" i="11"/>
  <c r="C217" i="11"/>
  <c r="B218" i="11"/>
  <c r="C199" i="11"/>
  <c r="B86" i="11"/>
  <c r="B58" i="11"/>
  <c r="B37" i="11"/>
  <c r="C187" i="11"/>
  <c r="C324" i="11"/>
  <c r="B307" i="11"/>
  <c r="C287" i="11"/>
  <c r="B269" i="11"/>
  <c r="C269" i="11"/>
  <c r="C254" i="11"/>
  <c r="B294" i="11"/>
  <c r="C309" i="11"/>
  <c r="C294" i="11"/>
  <c r="B275" i="11"/>
  <c r="B198" i="11"/>
  <c r="B329" i="11"/>
  <c r="B113" i="11"/>
  <c r="B236" i="11"/>
  <c r="C5" i="11"/>
  <c r="B208" i="11"/>
  <c r="B195" i="11"/>
  <c r="C219" i="11"/>
  <c r="B339" i="11"/>
  <c r="B124" i="11"/>
  <c r="B80" i="11"/>
  <c r="B240" i="11"/>
  <c r="C40" i="11"/>
  <c r="C210" i="11"/>
  <c r="B31" i="11"/>
  <c r="B151" i="11"/>
  <c r="B152" i="11"/>
  <c r="B312" i="11"/>
  <c r="C102" i="11"/>
  <c r="C262" i="11"/>
  <c r="B63" i="11"/>
  <c r="C133" i="11"/>
  <c r="C293" i="11"/>
  <c r="B246" i="11"/>
  <c r="C16" i="11"/>
  <c r="S15" i="10"/>
  <c r="S18" i="10"/>
  <c r="B7" i="11"/>
  <c r="C192" i="11"/>
  <c r="B57" i="11"/>
  <c r="C311" i="11"/>
  <c r="B97" i="11"/>
  <c r="C150" i="11"/>
  <c r="C362" i="11"/>
  <c r="C104" i="11"/>
  <c r="B177" i="11"/>
  <c r="B35" i="11"/>
  <c r="C212" i="11"/>
  <c r="C74" i="11"/>
  <c r="C238" i="11"/>
  <c r="B239" i="11"/>
  <c r="C239" i="11"/>
  <c r="B241" i="11"/>
  <c r="B221" i="11"/>
  <c r="C106" i="11"/>
  <c r="C86" i="11"/>
  <c r="C58" i="11"/>
  <c r="C327" i="11"/>
  <c r="B345" i="11"/>
  <c r="B325" i="11"/>
  <c r="C307" i="11"/>
  <c r="C289" i="11"/>
  <c r="B291" i="11"/>
  <c r="B119" i="11"/>
  <c r="C169" i="11"/>
  <c r="C189" i="11"/>
  <c r="B173" i="11"/>
  <c r="C215" i="11"/>
  <c r="C185" i="11"/>
  <c r="C316" i="11"/>
  <c r="C97" i="11"/>
  <c r="B223" i="11"/>
  <c r="C195" i="11"/>
  <c r="B181" i="11"/>
  <c r="B207" i="11"/>
  <c r="C326" i="11"/>
  <c r="B108" i="11"/>
  <c r="B90" i="11"/>
  <c r="B250" i="11"/>
  <c r="C50" i="11"/>
  <c r="C220" i="11"/>
  <c r="B41" i="11"/>
  <c r="B171" i="11"/>
  <c r="B162" i="11"/>
  <c r="B322" i="11"/>
  <c r="C112" i="11"/>
  <c r="C272" i="11"/>
  <c r="B73" i="11"/>
  <c r="C143" i="11"/>
  <c r="C303" i="11"/>
  <c r="B233" i="11"/>
  <c r="S23" i="10"/>
  <c r="S20" i="10"/>
  <c r="B54" i="11"/>
  <c r="C334" i="11"/>
  <c r="C328" i="11"/>
  <c r="B219" i="11"/>
  <c r="C32" i="11"/>
  <c r="B267" i="11"/>
  <c r="B117" i="11"/>
  <c r="B278" i="11"/>
  <c r="C206" i="11"/>
  <c r="C233" i="11"/>
  <c r="C84" i="11"/>
  <c r="B163" i="11"/>
  <c r="B38" i="11"/>
  <c r="B190" i="11"/>
  <c r="B313" i="11"/>
  <c r="B331" i="11"/>
  <c r="B257" i="11"/>
  <c r="C257" i="11"/>
  <c r="B258" i="11"/>
  <c r="B261" i="11"/>
  <c r="C241" i="11"/>
  <c r="B133" i="11"/>
  <c r="B107" i="11"/>
  <c r="B87" i="11"/>
  <c r="C9" i="11"/>
  <c r="C361" i="11"/>
  <c r="B346" i="11"/>
  <c r="C325" i="11"/>
  <c r="B308" i="11"/>
  <c r="C308" i="11"/>
  <c r="B301" i="11"/>
  <c r="C99" i="11"/>
  <c r="B309" i="11"/>
  <c r="C231" i="11"/>
  <c r="B147" i="11"/>
  <c r="C171" i="11"/>
  <c r="B304" i="11"/>
  <c r="B84" i="11"/>
  <c r="C208" i="11"/>
  <c r="C181" i="11"/>
  <c r="B167" i="11"/>
  <c r="C194" i="11"/>
  <c r="B314" i="11"/>
  <c r="B95" i="11"/>
  <c r="B100" i="11"/>
  <c r="B260" i="11"/>
  <c r="C60" i="11"/>
  <c r="C230" i="11"/>
  <c r="B51" i="11"/>
  <c r="B12" i="11"/>
  <c r="B172" i="11"/>
  <c r="B332" i="11"/>
  <c r="C122" i="11"/>
  <c r="C282" i="11"/>
  <c r="B83" i="11"/>
  <c r="C153" i="11"/>
  <c r="C313" i="11"/>
  <c r="C218" i="11"/>
  <c r="S25" i="10"/>
  <c r="S35" i="10"/>
  <c r="S22" i="10"/>
  <c r="B315" i="11"/>
  <c r="C65" i="11"/>
  <c r="B123" i="11"/>
  <c r="C56" i="11"/>
  <c r="B349" i="11"/>
  <c r="B66" i="11"/>
  <c r="C320" i="11"/>
  <c r="C73" i="11"/>
  <c r="B271" i="11"/>
  <c r="C186" i="11"/>
  <c r="B303" i="11"/>
  <c r="B102" i="11"/>
  <c r="S34" i="10"/>
  <c r="B74" i="11"/>
  <c r="B146" i="11"/>
  <c r="C278" i="11"/>
  <c r="B279" i="11"/>
  <c r="C279" i="11"/>
  <c r="B281" i="11"/>
  <c r="C264" i="11"/>
  <c r="C157" i="11"/>
  <c r="B134" i="11"/>
  <c r="B114" i="11"/>
  <c r="C37" i="11"/>
  <c r="C11" i="11"/>
  <c r="B363" i="11"/>
  <c r="C346" i="11"/>
  <c r="B327" i="11"/>
  <c r="C347" i="11"/>
  <c r="C44" i="11"/>
  <c r="C21" i="11"/>
  <c r="B45" i="11"/>
  <c r="B293" i="11"/>
  <c r="B75" i="11"/>
  <c r="B157" i="11"/>
  <c r="B289" i="11"/>
  <c r="B67" i="11"/>
  <c r="B196" i="11"/>
  <c r="C167" i="11"/>
  <c r="B154" i="11"/>
  <c r="C179" i="11"/>
  <c r="B299" i="11"/>
  <c r="B78" i="11"/>
  <c r="B110" i="11"/>
  <c r="B270" i="11"/>
  <c r="C70" i="11"/>
  <c r="C240" i="11"/>
  <c r="B61" i="11"/>
  <c r="B22" i="11"/>
  <c r="B182" i="11"/>
  <c r="B342" i="11"/>
  <c r="C132" i="11"/>
  <c r="C292" i="11"/>
  <c r="B93" i="11"/>
  <c r="C163" i="11"/>
  <c r="C323" i="11"/>
  <c r="B206" i="11"/>
  <c r="S32" i="10"/>
  <c r="S7" i="10"/>
  <c r="C55" i="11"/>
  <c r="C338" i="11"/>
  <c r="C295" i="11"/>
  <c r="B326" i="11"/>
  <c r="B305" i="11"/>
  <c r="C330" i="11"/>
  <c r="C329" i="11"/>
  <c r="C145" i="11"/>
  <c r="D145" i="11"/>
  <c r="C296" i="11"/>
  <c r="B297" i="11"/>
  <c r="C297" i="11"/>
  <c r="B298" i="11"/>
  <c r="C281" i="11"/>
  <c r="C177" i="11"/>
  <c r="B158" i="11"/>
  <c r="C134" i="11"/>
  <c r="B59" i="11"/>
  <c r="C38" i="11"/>
  <c r="B14" i="11"/>
  <c r="B4" i="11"/>
  <c r="B347" i="11"/>
  <c r="B191" i="11"/>
  <c r="B296" i="11"/>
  <c r="B338" i="11"/>
  <c r="C351" i="11"/>
  <c r="B231" i="11"/>
  <c r="B358" i="11"/>
  <c r="B144" i="11"/>
  <c r="C276" i="11"/>
  <c r="C51" i="11"/>
  <c r="B183" i="11"/>
  <c r="C154" i="11"/>
  <c r="B138" i="11"/>
  <c r="C166" i="11"/>
  <c r="C286" i="11"/>
  <c r="C64" i="11"/>
  <c r="B120" i="11"/>
  <c r="B280" i="11"/>
  <c r="C80" i="11"/>
  <c r="C250" i="11"/>
  <c r="B81" i="11"/>
  <c r="B32" i="11"/>
  <c r="B192" i="11"/>
  <c r="B352" i="11"/>
  <c r="C142" i="11"/>
  <c r="C302" i="11"/>
  <c r="C13" i="11"/>
  <c r="C173" i="11"/>
  <c r="C333" i="11"/>
  <c r="B193" i="11"/>
  <c r="S27" i="10"/>
  <c r="D43" i="10"/>
  <c r="S13" i="10"/>
  <c r="C54" i="11"/>
  <c r="B186" i="11"/>
  <c r="B340" i="11"/>
  <c r="S29" i="10"/>
  <c r="B285" i="11"/>
  <c r="B30" i="11"/>
  <c r="S8" i="10"/>
  <c r="C71" i="11"/>
  <c r="C255" i="11"/>
  <c r="B317" i="11"/>
  <c r="C317" i="11"/>
  <c r="C318" i="11"/>
  <c r="B319" i="11"/>
  <c r="C299" i="11"/>
  <c r="C201" i="11"/>
  <c r="B178" i="11"/>
  <c r="C158" i="11"/>
  <c r="C87" i="11"/>
  <c r="C59" i="11"/>
  <c r="B39" i="11"/>
  <c r="C14" i="11"/>
  <c r="C4" i="11"/>
  <c r="C119" i="11"/>
  <c r="B188" i="11"/>
  <c r="B169" i="11"/>
  <c r="B254" i="11"/>
  <c r="B16" i="11"/>
  <c r="C345" i="11"/>
  <c r="B128" i="11"/>
  <c r="B264" i="11"/>
  <c r="C36" i="11"/>
  <c r="B168" i="11"/>
  <c r="C355" i="11"/>
  <c r="C138" i="11"/>
  <c r="B125" i="11"/>
  <c r="B153" i="11"/>
  <c r="B274" i="11"/>
  <c r="C47" i="11"/>
  <c r="B130" i="11"/>
  <c r="B290" i="11"/>
  <c r="C100" i="11"/>
  <c r="C260" i="11"/>
  <c r="B91" i="11"/>
  <c r="B42" i="11"/>
  <c r="B202" i="11"/>
  <c r="B362" i="11"/>
  <c r="C152" i="11"/>
  <c r="C312" i="11"/>
  <c r="C23" i="11"/>
  <c r="C183" i="11"/>
  <c r="C343" i="11"/>
  <c r="C178" i="11"/>
  <c r="S31" i="10"/>
  <c r="S36" i="10"/>
  <c r="S19" i="10"/>
  <c r="C159" i="11"/>
  <c r="C304" i="11"/>
  <c r="C196" i="11"/>
  <c r="B92" i="11"/>
  <c r="B104" i="11"/>
  <c r="C224" i="11"/>
  <c r="B194" i="11"/>
  <c r="B13" i="11"/>
  <c r="B255" i="11"/>
  <c r="C335" i="11"/>
  <c r="B336" i="11"/>
  <c r="C336" i="11"/>
  <c r="B337" i="11"/>
  <c r="C319" i="11"/>
  <c r="B225" i="11"/>
  <c r="B203" i="11"/>
  <c r="C184" i="11"/>
  <c r="C114" i="11"/>
  <c r="B88" i="11"/>
  <c r="C61" i="11"/>
  <c r="C39" i="11"/>
  <c r="B15" i="11"/>
  <c r="C358" i="11"/>
  <c r="B118" i="11"/>
  <c r="C98" i="11"/>
  <c r="C118" i="11"/>
  <c r="B283" i="11"/>
  <c r="C331" i="11"/>
  <c r="B115" i="11"/>
  <c r="B249" i="11"/>
  <c r="C19" i="11"/>
  <c r="B155" i="11"/>
  <c r="C341" i="11"/>
  <c r="C125" i="11"/>
  <c r="B109" i="11"/>
  <c r="C137" i="11"/>
  <c r="B259" i="11"/>
  <c r="B34" i="11"/>
  <c r="B140" i="11"/>
  <c r="B300" i="11"/>
  <c r="C110" i="11"/>
  <c r="C280" i="11"/>
  <c r="B101" i="11"/>
  <c r="B52" i="11"/>
  <c r="B212" i="11"/>
  <c r="E47" i="10"/>
  <c r="C162" i="11"/>
  <c r="C322" i="11"/>
  <c r="C33" i="11"/>
  <c r="C193" i="11"/>
  <c r="C353" i="11"/>
  <c r="C165" i="11"/>
  <c r="S26" i="10"/>
  <c r="S30" i="10"/>
  <c r="B245" i="11"/>
  <c r="C79" i="11"/>
  <c r="B82" i="11"/>
  <c r="B76" i="11"/>
  <c r="C78" i="11"/>
  <c r="C107" i="11"/>
  <c r="C321" i="11"/>
  <c r="B49" i="11"/>
  <c r="C83" i="11"/>
  <c r="B321" i="11"/>
  <c r="B17" i="11"/>
  <c r="C354" i="11"/>
  <c r="B355" i="11"/>
  <c r="B356" i="11"/>
  <c r="B357" i="11"/>
  <c r="C337" i="11"/>
  <c r="B244" i="11"/>
  <c r="B226" i="11"/>
  <c r="B204" i="11"/>
  <c r="B135" i="11"/>
  <c r="C115" i="11"/>
  <c r="C88" i="11"/>
  <c r="C67" i="11"/>
  <c r="C41" i="11"/>
  <c r="B189" i="11"/>
  <c r="C349" i="11"/>
  <c r="B335" i="11"/>
  <c r="B351" i="11"/>
  <c r="C229" i="11"/>
  <c r="B318" i="11"/>
  <c r="B99" i="11"/>
  <c r="C236" i="11"/>
  <c r="B6" i="11"/>
  <c r="B139" i="11"/>
  <c r="B328" i="11"/>
  <c r="C109" i="11"/>
  <c r="B96" i="11"/>
  <c r="C124" i="11"/>
  <c r="C246" i="11"/>
  <c r="B150" i="11"/>
  <c r="B310" i="11"/>
  <c r="C120" i="11"/>
  <c r="C290" i="11"/>
  <c r="B121" i="11"/>
  <c r="B62" i="11"/>
  <c r="B222" i="11"/>
  <c r="C12" i="11"/>
  <c r="C172" i="11"/>
  <c r="C332" i="11"/>
  <c r="C43" i="11"/>
  <c r="C203" i="11"/>
  <c r="C363" i="11"/>
  <c r="C149" i="11"/>
  <c r="S28" i="10"/>
  <c r="S33" i="10"/>
  <c r="C223" i="11"/>
  <c r="C284" i="11"/>
  <c r="B295" i="11"/>
  <c r="C52" i="11"/>
  <c r="C69" i="11"/>
  <c r="B26" i="11"/>
  <c r="C26" i="11"/>
  <c r="B27" i="11"/>
  <c r="C27" i="11"/>
  <c r="C6" i="11"/>
  <c r="C357" i="11"/>
  <c r="B266" i="11"/>
  <c r="C244" i="11"/>
  <c r="C226" i="11"/>
  <c r="B159" i="11"/>
  <c r="C135" i="11"/>
  <c r="B116" i="11"/>
  <c r="B89" i="11"/>
  <c r="B68" i="11"/>
  <c r="C188" i="11"/>
  <c r="C237" i="11"/>
  <c r="B98" i="11"/>
  <c r="B243" i="11"/>
  <c r="B165" i="11"/>
  <c r="C305" i="11"/>
  <c r="C85" i="11"/>
  <c r="B224" i="11"/>
  <c r="B343" i="11"/>
  <c r="B126" i="11"/>
  <c r="C315" i="11"/>
  <c r="C96" i="11"/>
  <c r="B79" i="11"/>
  <c r="C108" i="11"/>
  <c r="B234" i="11"/>
  <c r="S24" i="10"/>
  <c r="B160" i="11"/>
  <c r="B320" i="11"/>
  <c r="C130" i="11"/>
  <c r="C300" i="11"/>
  <c r="B141" i="11"/>
  <c r="B72" i="11"/>
  <c r="B232" i="11"/>
  <c r="C22" i="11"/>
  <c r="C182" i="11"/>
  <c r="C342" i="11"/>
  <c r="C53" i="11"/>
  <c r="C213" i="11"/>
  <c r="B353" i="11"/>
  <c r="C136" i="11"/>
  <c r="S11" i="10"/>
  <c r="B136" i="11"/>
  <c r="B330" i="11"/>
  <c r="C75" i="11"/>
  <c r="C141" i="11"/>
  <c r="B316" i="11"/>
  <c r="B180" i="11"/>
  <c r="S21" i="10"/>
  <c r="B85" i="11"/>
  <c r="C191" i="11"/>
  <c r="C275" i="11"/>
  <c r="B262" i="11"/>
  <c r="D53" i="6"/>
  <c r="E53" i="6"/>
  <c r="D54" i="6"/>
  <c r="E54" i="6"/>
  <c r="I25" i="6"/>
  <c r="D339" i="11"/>
  <c r="D34" i="11"/>
  <c r="D289" i="11"/>
  <c r="D85" i="11"/>
  <c r="D274" i="11"/>
  <c r="D288" i="11"/>
  <c r="D301" i="11"/>
  <c r="D231" i="11"/>
  <c r="D128" i="11"/>
  <c r="D66" i="11"/>
  <c r="D90" i="11"/>
  <c r="D101" i="11"/>
  <c r="D15" i="11"/>
  <c r="D222" i="11"/>
  <c r="D189" i="11"/>
  <c r="D168" i="11"/>
  <c r="D219" i="11"/>
  <c r="D32" i="11"/>
  <c r="D16" i="11"/>
  <c r="D232" i="11"/>
  <c r="D202" i="11"/>
  <c r="D285" i="11"/>
  <c r="D18" i="12"/>
  <c r="E43" i="8"/>
  <c r="E47" i="8"/>
  <c r="H44" i="8"/>
  <c r="D47" i="8"/>
  <c r="H26" i="8"/>
  <c r="D245" i="11"/>
  <c r="D362" i="11"/>
  <c r="D314" i="11"/>
  <c r="D352" i="11"/>
  <c r="D298" i="11"/>
  <c r="D159" i="11"/>
  <c r="D146" i="11"/>
  <c r="D140" i="11"/>
  <c r="D194" i="11"/>
  <c r="D117" i="11"/>
  <c r="D116" i="11"/>
  <c r="D95" i="11"/>
  <c r="D213" i="11"/>
  <c r="D264" i="11"/>
  <c r="D57" i="11"/>
  <c r="D270" i="11"/>
  <c r="D89" i="11"/>
  <c r="D209" i="11"/>
  <c r="D147" i="11"/>
  <c r="D212" i="11"/>
  <c r="D81" i="11"/>
  <c r="D126" i="11"/>
  <c r="D293" i="11"/>
  <c r="D328" i="11"/>
  <c r="D204" i="11"/>
  <c r="D151" i="11"/>
  <c r="D348" i="11"/>
  <c r="D201" i="11"/>
  <c r="D326" i="11"/>
  <c r="D74" i="11"/>
  <c r="D180" i="11"/>
  <c r="D42" i="11"/>
  <c r="D92" i="11"/>
  <c r="D91" i="11"/>
  <c r="D111" i="11"/>
  <c r="D320" i="11"/>
  <c r="D121" i="11"/>
  <c r="D169" i="11"/>
  <c r="D133" i="11"/>
  <c r="D205" i="11"/>
  <c r="D77" i="11"/>
  <c r="D256" i="11"/>
  <c r="D214" i="11"/>
  <c r="D291" i="11"/>
  <c r="D283" i="11"/>
  <c r="D190" i="11"/>
  <c r="D46" i="11"/>
  <c r="D13" i="11"/>
  <c r="D244" i="11"/>
  <c r="D14" i="11"/>
  <c r="D346" i="11"/>
  <c r="D73" i="11"/>
  <c r="D29" i="11"/>
  <c r="D33" i="11"/>
  <c r="D341" i="11"/>
  <c r="D129" i="11"/>
  <c r="D224" i="11"/>
  <c r="D139" i="11"/>
  <c r="D226" i="11"/>
  <c r="D300" i="11"/>
  <c r="D118" i="11"/>
  <c r="D4" i="11"/>
  <c r="D163" i="11"/>
  <c r="D230" i="11"/>
  <c r="D215" i="11"/>
  <c r="D248" i="11"/>
  <c r="D324" i="11"/>
  <c r="D272" i="11"/>
  <c r="D99" i="11"/>
  <c r="D104" i="11"/>
  <c r="D102" i="11"/>
  <c r="D234" i="11"/>
  <c r="D93" i="11"/>
  <c r="D297" i="11"/>
  <c r="D153" i="11"/>
  <c r="D347" i="11"/>
  <c r="D31" i="11"/>
  <c r="D253" i="11"/>
  <c r="D112" i="11"/>
  <c r="D223" i="11"/>
  <c r="D72" i="11"/>
  <c r="D316" i="11"/>
  <c r="D318" i="11"/>
  <c r="D254" i="11"/>
  <c r="D351" i="11"/>
  <c r="D206" i="11"/>
  <c r="D261" i="11"/>
  <c r="D155" i="11"/>
  <c r="D225" i="11"/>
  <c r="D340" i="11"/>
  <c r="D262" i="11"/>
  <c r="D198" i="11"/>
  <c r="D39" i="11"/>
  <c r="D343" i="11"/>
  <c r="D266" i="11"/>
  <c r="D319" i="11"/>
  <c r="D193" i="11"/>
  <c r="D137" i="11"/>
  <c r="D65" i="11"/>
  <c r="D292" i="11"/>
  <c r="D156" i="11"/>
  <c r="D276" i="11"/>
  <c r="D11" i="11"/>
  <c r="D69" i="11"/>
  <c r="D165" i="11"/>
  <c r="D259" i="11"/>
  <c r="D221" i="11"/>
  <c r="D7" i="11"/>
  <c r="D26" i="11"/>
  <c r="D355" i="11"/>
  <c r="D109" i="11"/>
  <c r="D88" i="11"/>
  <c r="D317" i="11"/>
  <c r="D183" i="11"/>
  <c r="D158" i="11"/>
  <c r="D83" i="11"/>
  <c r="D107" i="11"/>
  <c r="D162" i="11"/>
  <c r="D269" i="11"/>
  <c r="D252" i="11"/>
  <c r="D174" i="11"/>
  <c r="D175" i="11"/>
  <c r="D122" i="11"/>
  <c r="D238" i="11"/>
  <c r="D330" i="11"/>
  <c r="D160" i="11"/>
  <c r="D335" i="11"/>
  <c r="D17" i="11"/>
  <c r="D148" i="11"/>
  <c r="D68" i="11"/>
  <c r="D310" i="11"/>
  <c r="D258" i="11"/>
  <c r="D150" i="11"/>
  <c r="D249" i="11"/>
  <c r="D250" i="11"/>
  <c r="D35" i="11"/>
  <c r="D37" i="11"/>
  <c r="D344" i="11"/>
  <c r="D350" i="11"/>
  <c r="D123" i="11"/>
  <c r="D113" i="11"/>
  <c r="D170" i="11"/>
  <c r="D131" i="11"/>
  <c r="D247" i="11"/>
  <c r="D96" i="11"/>
  <c r="D336" i="11"/>
  <c r="D296" i="11"/>
  <c r="D313" i="11"/>
  <c r="D82" i="11"/>
  <c r="D255" i="11"/>
  <c r="D178" i="11"/>
  <c r="D120" i="11"/>
  <c r="D305" i="11"/>
  <c r="D61" i="11"/>
  <c r="D45" i="11"/>
  <c r="D100" i="11"/>
  <c r="D308" i="11"/>
  <c r="D38" i="11"/>
  <c r="D181" i="11"/>
  <c r="D97" i="11"/>
  <c r="D24" i="11"/>
  <c r="D43" i="11"/>
  <c r="D36" i="11"/>
  <c r="D28" i="11"/>
  <c r="D141" i="11"/>
  <c r="D27" i="11"/>
  <c r="D357" i="11"/>
  <c r="D138" i="11"/>
  <c r="D59" i="11"/>
  <c r="D110" i="11"/>
  <c r="D327" i="11"/>
  <c r="D167" i="11"/>
  <c r="D240" i="11"/>
  <c r="D354" i="11"/>
  <c r="D132" i="11"/>
  <c r="D176" i="11"/>
  <c r="D8" i="11"/>
  <c r="D161" i="11"/>
  <c r="D25" i="11"/>
  <c r="D243" i="11"/>
  <c r="D356" i="11"/>
  <c r="D78" i="11"/>
  <c r="D303" i="11"/>
  <c r="D87" i="11"/>
  <c r="D278" i="11"/>
  <c r="D322" i="11"/>
  <c r="D241" i="11"/>
  <c r="D80" i="11"/>
  <c r="D287" i="11"/>
  <c r="D227" i="11"/>
  <c r="D334" i="11"/>
  <c r="D282" i="11"/>
  <c r="D10" i="11"/>
  <c r="D127" i="11"/>
  <c r="D124" i="11"/>
  <c r="D184" i="11"/>
  <c r="D149" i="11"/>
  <c r="D360" i="11"/>
  <c r="D106" i="11"/>
  <c r="D6" i="11"/>
  <c r="D294" i="11"/>
  <c r="D62" i="11"/>
  <c r="D271" i="11"/>
  <c r="D84" i="11"/>
  <c r="D267" i="11"/>
  <c r="D171" i="11"/>
  <c r="D173" i="11"/>
  <c r="D239" i="11"/>
  <c r="D361" i="11"/>
  <c r="D44" i="11"/>
  <c r="D71" i="11"/>
  <c r="D94" i="11"/>
  <c r="D200" i="11"/>
  <c r="D265" i="11"/>
  <c r="D263" i="11"/>
  <c r="D242" i="11"/>
  <c r="D290" i="11"/>
  <c r="D188" i="11"/>
  <c r="D154" i="11"/>
  <c r="D304" i="11"/>
  <c r="D41" i="11"/>
  <c r="D246" i="11"/>
  <c r="D307" i="11"/>
  <c r="D53" i="11"/>
  <c r="D19" i="11"/>
  <c r="D9" i="11"/>
  <c r="D277" i="11"/>
  <c r="D237" i="11"/>
  <c r="D284" i="11"/>
  <c r="D40" i="11"/>
  <c r="D164" i="11"/>
  <c r="D299" i="11"/>
  <c r="D321" i="11"/>
  <c r="D203" i="11"/>
  <c r="D130" i="11"/>
  <c r="D144" i="11"/>
  <c r="D114" i="11"/>
  <c r="D332" i="11"/>
  <c r="D195" i="11"/>
  <c r="D55" i="11"/>
  <c r="D220" i="11"/>
  <c r="D179" i="11"/>
  <c r="D187" i="11"/>
  <c r="D98" i="11"/>
  <c r="D136" i="11"/>
  <c r="D295" i="11"/>
  <c r="D30" i="11"/>
  <c r="D192" i="11"/>
  <c r="D358" i="11"/>
  <c r="D196" i="11"/>
  <c r="D134" i="11"/>
  <c r="D172" i="11"/>
  <c r="D119" i="11"/>
  <c r="D208" i="11"/>
  <c r="D56" i="11"/>
  <c r="D60" i="11"/>
  <c r="D229" i="11"/>
  <c r="D235" i="11"/>
  <c r="D48" i="11"/>
  <c r="D45" i="10"/>
  <c r="E43" i="10"/>
  <c r="E45" i="10"/>
  <c r="E49" i="10"/>
  <c r="E56" i="10"/>
  <c r="D359" i="11"/>
  <c r="D49" i="11"/>
  <c r="D67" i="11"/>
  <c r="D349" i="11"/>
  <c r="D12" i="11"/>
  <c r="D63" i="11"/>
  <c r="D302" i="11"/>
  <c r="D185" i="11"/>
  <c r="D210" i="11"/>
  <c r="D311" i="11"/>
  <c r="D18" i="11"/>
  <c r="D47" i="10"/>
  <c r="D115" i="11"/>
  <c r="D337" i="11"/>
  <c r="D51" i="11"/>
  <c r="D309" i="11"/>
  <c r="D257" i="11"/>
  <c r="D54" i="11"/>
  <c r="D177" i="11"/>
  <c r="D236" i="11"/>
  <c r="D58" i="11"/>
  <c r="D142" i="11"/>
  <c r="D199" i="11"/>
  <c r="D47" i="11"/>
  <c r="D143" i="11"/>
  <c r="D50" i="11"/>
  <c r="D211" i="11"/>
  <c r="D216" i="11"/>
  <c r="D353" i="11"/>
  <c r="D79" i="11"/>
  <c r="D52" i="11"/>
  <c r="D125" i="11"/>
  <c r="D338" i="11"/>
  <c r="D342" i="11"/>
  <c r="D157" i="11"/>
  <c r="D281" i="11"/>
  <c r="D331" i="11"/>
  <c r="D108" i="11"/>
  <c r="D86" i="11"/>
  <c r="D333" i="11"/>
  <c r="D273" i="11"/>
  <c r="D268" i="11"/>
  <c r="D105" i="11"/>
  <c r="D166" i="11"/>
  <c r="D103" i="11"/>
  <c r="D306" i="11"/>
  <c r="D217" i="11"/>
  <c r="D70" i="11"/>
  <c r="D251" i="11"/>
  <c r="D186" i="11"/>
  <c r="D182" i="11"/>
  <c r="D75" i="11"/>
  <c r="D325" i="11"/>
  <c r="D312" i="11"/>
  <c r="D329" i="11"/>
  <c r="D21" i="11"/>
  <c r="D5" i="11"/>
  <c r="D64" i="11"/>
  <c r="D228" i="11"/>
  <c r="D23" i="11"/>
  <c r="D323" i="11"/>
  <c r="D275" i="11"/>
  <c r="D363" i="11"/>
  <c r="D135" i="11"/>
  <c r="D76" i="11"/>
  <c r="D280" i="11"/>
  <c r="D191" i="11"/>
  <c r="D22" i="11"/>
  <c r="D279" i="11"/>
  <c r="D315" i="11"/>
  <c r="D260" i="11"/>
  <c r="D233" i="11"/>
  <c r="D207" i="11"/>
  <c r="D345" i="11"/>
  <c r="D152" i="11"/>
  <c r="D218" i="11"/>
  <c r="D197" i="11"/>
  <c r="D286" i="11"/>
  <c r="D20" i="11"/>
  <c r="E4" i="11"/>
  <c r="E5" i="11"/>
  <c r="E6" i="11"/>
  <c r="E7" i="11"/>
  <c r="E8" i="11"/>
  <c r="E9" i="11"/>
  <c r="E10" i="11"/>
  <c r="E11" i="11"/>
  <c r="E12" i="11"/>
  <c r="E13" i="11"/>
  <c r="E14" i="11"/>
  <c r="E15" i="11"/>
  <c r="D51" i="6"/>
  <c r="D25" i="6"/>
  <c r="A11" i="2"/>
  <c r="A12" i="2"/>
  <c r="A13" i="2"/>
  <c r="A14" i="2"/>
  <c r="A15" i="2"/>
  <c r="A16" i="2"/>
  <c r="A17" i="2"/>
  <c r="A18" i="2"/>
  <c r="A19" i="2"/>
  <c r="A20" i="2"/>
  <c r="A21" i="2"/>
  <c r="A22" i="2"/>
  <c r="A23" i="2"/>
  <c r="D49" i="10"/>
  <c r="D56" i="10"/>
  <c r="E51" i="6"/>
  <c r="H28" i="8"/>
  <c r="I28" i="8"/>
  <c r="H27" i="8"/>
  <c r="I27" i="8"/>
  <c r="H37" i="8"/>
  <c r="I26" i="8"/>
  <c r="E16" i="11"/>
  <c r="E17" i="11"/>
  <c r="E18" i="11"/>
  <c r="E19" i="11"/>
  <c r="E20" i="11"/>
  <c r="E21" i="11"/>
  <c r="E22" i="11"/>
  <c r="E23" i="11"/>
  <c r="E24" i="11"/>
  <c r="E25" i="11"/>
  <c r="E26" i="11"/>
  <c r="E27" i="11"/>
  <c r="U7" i="10"/>
  <c r="N7" i="10"/>
  <c r="I25" i="10"/>
  <c r="D35" i="6"/>
  <c r="E46" i="6"/>
  <c r="C20" i="3"/>
  <c r="H33" i="6"/>
  <c r="D22" i="12"/>
  <c r="D24" i="6"/>
  <c r="H38" i="8"/>
  <c r="C20" i="12"/>
  <c r="I45" i="10"/>
  <c r="F262" i="11"/>
  <c r="F247" i="11"/>
  <c r="F73" i="11"/>
  <c r="F161" i="11"/>
  <c r="F160" i="11"/>
  <c r="F145" i="11"/>
  <c r="F28" i="11"/>
  <c r="F275" i="11"/>
  <c r="F182" i="11"/>
  <c r="F310" i="11"/>
  <c r="F139" i="11"/>
  <c r="F56" i="11"/>
  <c r="F72" i="11"/>
  <c r="F318" i="11"/>
  <c r="F165" i="11"/>
  <c r="F344" i="11"/>
  <c r="F227" i="11"/>
  <c r="F124" i="11"/>
  <c r="F339" i="11"/>
  <c r="F347" i="11"/>
  <c r="F69" i="11"/>
  <c r="F306" i="11"/>
  <c r="F293" i="11"/>
  <c r="F93" i="11"/>
  <c r="F352" i="11"/>
  <c r="F147" i="11"/>
  <c r="F137" i="11"/>
  <c r="F362" i="11"/>
  <c r="F21" i="11"/>
  <c r="F221" i="11"/>
  <c r="F301" i="11"/>
  <c r="F46" i="11"/>
  <c r="F314" i="11"/>
  <c r="F315" i="11"/>
  <c r="F246" i="11"/>
  <c r="F229" i="11"/>
  <c r="F67" i="11"/>
  <c r="F236" i="11"/>
  <c r="F241" i="11"/>
  <c r="F200" i="11"/>
  <c r="F17" i="11"/>
  <c r="F113" i="11"/>
  <c r="F9" i="11"/>
  <c r="F87" i="11"/>
  <c r="F48" i="11"/>
  <c r="F38" i="11"/>
  <c r="F234" i="11"/>
  <c r="F323" i="11"/>
  <c r="F316" i="11"/>
  <c r="F83" i="11"/>
  <c r="F300" i="11"/>
  <c r="F322" i="11"/>
  <c r="F177" i="11"/>
  <c r="F328" i="11"/>
  <c r="F363" i="11"/>
  <c r="F285" i="11"/>
  <c r="F248" i="11"/>
  <c r="F50" i="11"/>
  <c r="F304" i="11"/>
  <c r="F31" i="11"/>
  <c r="F279" i="11"/>
  <c r="F360" i="11"/>
  <c r="F116" i="11"/>
  <c r="F40" i="11"/>
  <c r="F212" i="11"/>
  <c r="F62" i="11"/>
  <c r="F273" i="11"/>
  <c r="F143" i="11"/>
  <c r="F119" i="11"/>
  <c r="F245" i="11"/>
  <c r="F331" i="11"/>
  <c r="F228" i="11"/>
  <c r="F249" i="11"/>
  <c r="F92" i="11"/>
  <c r="F204" i="11"/>
  <c r="F286" i="11"/>
  <c r="F103" i="11"/>
  <c r="F76" i="11"/>
  <c r="F269" i="11"/>
  <c r="F131" i="11"/>
  <c r="F128" i="11"/>
  <c r="F226" i="11"/>
  <c r="F213" i="11"/>
  <c r="F308" i="11"/>
  <c r="F112" i="11"/>
  <c r="F99" i="11"/>
  <c r="F107" i="11"/>
  <c r="F222" i="11"/>
  <c r="F281" i="11"/>
  <c r="F22" i="11"/>
  <c r="F39" i="11"/>
  <c r="F265" i="11"/>
  <c r="F205" i="11"/>
  <c r="F24" i="11"/>
  <c r="F45" i="11"/>
  <c r="F218" i="11"/>
  <c r="F199" i="11"/>
  <c r="F96" i="11"/>
  <c r="F278" i="11"/>
  <c r="F86" i="11"/>
  <c r="F168" i="11"/>
  <c r="F239" i="11"/>
  <c r="F255" i="11"/>
  <c r="F270" i="11"/>
  <c r="F350" i="11"/>
  <c r="F98" i="11"/>
  <c r="F151" i="11"/>
  <c r="F88" i="11"/>
  <c r="F263" i="11"/>
  <c r="F13" i="11"/>
  <c r="F253" i="11"/>
  <c r="F109" i="11"/>
  <c r="F127" i="11"/>
  <c r="F231" i="11"/>
  <c r="F280" i="11"/>
  <c r="F303" i="11"/>
  <c r="F337" i="11"/>
  <c r="F357" i="11"/>
  <c r="F183" i="11"/>
  <c r="F343" i="11"/>
  <c r="F132" i="11"/>
  <c r="F309" i="11"/>
  <c r="F311" i="11"/>
  <c r="F54" i="11"/>
  <c r="F353" i="11"/>
  <c r="F320" i="11"/>
  <c r="F302" i="11"/>
  <c r="F313" i="11"/>
  <c r="F12" i="11"/>
  <c r="F100" i="11"/>
  <c r="F101" i="11"/>
  <c r="F164" i="11"/>
  <c r="F191" i="11"/>
  <c r="F184" i="11"/>
  <c r="F90" i="11"/>
  <c r="F235" i="11"/>
  <c r="F257" i="11"/>
  <c r="F187" i="11"/>
  <c r="F133" i="11"/>
  <c r="F190" i="11"/>
  <c r="F44" i="11"/>
  <c r="F207" i="11"/>
  <c r="F210" i="11"/>
  <c r="F358" i="11"/>
  <c r="F180" i="11"/>
  <c r="F33" i="11"/>
  <c r="F251" i="11"/>
  <c r="F136" i="11"/>
  <c r="F232" i="11"/>
  <c r="F198" i="11"/>
  <c r="F359" i="11"/>
  <c r="F217" i="11"/>
  <c r="F47" i="11"/>
  <c r="F118" i="11"/>
  <c r="F102" i="11"/>
  <c r="F29" i="11"/>
  <c r="F170" i="11"/>
  <c r="F49" i="11"/>
  <c r="F126" i="11"/>
  <c r="F129" i="11"/>
  <c r="F173" i="11"/>
  <c r="F254" i="11"/>
  <c r="F82" i="11"/>
  <c r="F332" i="11"/>
  <c r="F6" i="11"/>
  <c r="F214" i="11"/>
  <c r="F356" i="11"/>
  <c r="F349" i="11"/>
  <c r="F104" i="11"/>
  <c r="F30" i="11"/>
  <c r="F348" i="11"/>
  <c r="F325" i="11"/>
  <c r="F166" i="11"/>
  <c r="F111" i="11"/>
  <c r="F122" i="11"/>
  <c r="F225" i="11"/>
  <c r="F85" i="11"/>
  <c r="F27" i="11"/>
  <c r="F63" i="11"/>
  <c r="F55" i="11"/>
  <c r="F81" i="11"/>
  <c r="F188" i="11"/>
  <c r="F172" i="11"/>
  <c r="F259" i="11"/>
  <c r="F282" i="11"/>
  <c r="F345" i="11"/>
  <c r="F74" i="11"/>
  <c r="F20" i="11"/>
  <c r="F163" i="11"/>
  <c r="F244" i="11"/>
  <c r="F61" i="11"/>
  <c r="F32" i="11"/>
  <c r="F181" i="11"/>
  <c r="F106" i="11"/>
  <c r="F152" i="11"/>
  <c r="F51" i="11"/>
  <c r="F16" i="11"/>
  <c r="F289" i="11"/>
  <c r="F287" i="11"/>
  <c r="F35" i="11"/>
  <c r="F4" i="11"/>
  <c r="G4" i="11"/>
  <c r="F156" i="11"/>
  <c r="F65" i="11"/>
  <c r="F148" i="11"/>
  <c r="F202" i="11"/>
  <c r="F208" i="11"/>
  <c r="F19" i="11"/>
  <c r="F340" i="11"/>
  <c r="F206" i="11"/>
  <c r="F175" i="11"/>
  <c r="F80" i="11"/>
  <c r="F211" i="11"/>
  <c r="F354" i="11"/>
  <c r="F117" i="11"/>
  <c r="F230" i="11"/>
  <c r="F290" i="11"/>
  <c r="F215" i="11"/>
  <c r="F41" i="11"/>
  <c r="F159" i="11"/>
  <c r="F138" i="11"/>
  <c r="F149" i="11"/>
  <c r="F335" i="11"/>
  <c r="F334" i="11"/>
  <c r="F36" i="11"/>
  <c r="F108" i="11"/>
  <c r="F153" i="11"/>
  <c r="F121" i="11"/>
  <c r="F209" i="11"/>
  <c r="F330" i="11"/>
  <c r="F142" i="11"/>
  <c r="F77" i="11"/>
  <c r="F174" i="11"/>
  <c r="F346" i="11"/>
  <c r="F355" i="11"/>
  <c r="F260" i="11"/>
  <c r="F272" i="11"/>
  <c r="F258" i="11"/>
  <c r="F321" i="11"/>
  <c r="F5" i="11"/>
  <c r="F324" i="11"/>
  <c r="F89" i="11"/>
  <c r="F274" i="11"/>
  <c r="F264" i="11"/>
  <c r="F186" i="11"/>
  <c r="F26" i="11"/>
  <c r="F197" i="11"/>
  <c r="F305" i="11"/>
  <c r="F276" i="11"/>
  <c r="F14" i="11"/>
  <c r="F64" i="11"/>
  <c r="F261" i="11"/>
  <c r="F123" i="11"/>
  <c r="F95" i="11"/>
  <c r="F8" i="11"/>
  <c r="F25" i="11"/>
  <c r="F52" i="11"/>
  <c r="F220" i="11"/>
  <c r="F57" i="11"/>
  <c r="F312" i="11"/>
  <c r="F267" i="11"/>
  <c r="F162" i="11"/>
  <c r="F329" i="11"/>
  <c r="F130" i="11"/>
  <c r="F34" i="11"/>
  <c r="F10" i="11"/>
  <c r="F194" i="11"/>
  <c r="F271" i="11"/>
  <c r="F317" i="11"/>
  <c r="F75" i="11"/>
  <c r="F150" i="11"/>
  <c r="F120" i="11"/>
  <c r="F252" i="11"/>
  <c r="F154" i="11"/>
  <c r="F333" i="11"/>
  <c r="F60" i="11"/>
  <c r="F243" i="11"/>
  <c r="F268" i="11"/>
  <c r="F326" i="11"/>
  <c r="F78" i="11"/>
  <c r="F201" i="11"/>
  <c r="F233" i="11"/>
  <c r="F71" i="11"/>
  <c r="F141" i="11"/>
  <c r="F195" i="11"/>
  <c r="F237" i="11"/>
  <c r="F94" i="11"/>
  <c r="F250" i="11"/>
  <c r="F11" i="11"/>
  <c r="F84" i="11"/>
  <c r="F298" i="11"/>
  <c r="F224" i="11"/>
  <c r="F179" i="11"/>
  <c r="F158" i="11"/>
  <c r="F291" i="11"/>
  <c r="F192" i="11"/>
  <c r="F238" i="11"/>
  <c r="F135" i="11"/>
  <c r="F68" i="11"/>
  <c r="F297" i="11"/>
  <c r="F167" i="11"/>
  <c r="F105" i="11"/>
  <c r="F242" i="11"/>
  <c r="F295" i="11"/>
  <c r="F292" i="11"/>
  <c r="F203" i="11"/>
  <c r="F296" i="11"/>
  <c r="F146" i="11"/>
  <c r="F15" i="11"/>
  <c r="F37" i="11"/>
  <c r="F299" i="11"/>
  <c r="F178" i="11"/>
  <c r="F155" i="11"/>
  <c r="F42" i="11"/>
  <c r="F338" i="11"/>
  <c r="F134" i="11"/>
  <c r="F23" i="11"/>
  <c r="F79" i="11"/>
  <c r="F361" i="11"/>
  <c r="F97" i="11"/>
  <c r="F7" i="11"/>
  <c r="F351" i="11"/>
  <c r="F240" i="11"/>
  <c r="F58" i="11"/>
  <c r="F140" i="11"/>
  <c r="F125" i="11"/>
  <c r="F277" i="11"/>
  <c r="F91" i="11"/>
  <c r="F171" i="11"/>
  <c r="F288" i="11"/>
  <c r="F266" i="11"/>
  <c r="F216" i="11"/>
  <c r="F341" i="11"/>
  <c r="F185" i="11"/>
  <c r="F43" i="11"/>
  <c r="F342" i="11"/>
  <c r="F70" i="11"/>
  <c r="F144" i="11"/>
  <c r="F283" i="11"/>
  <c r="F219" i="11"/>
  <c r="F18" i="11"/>
  <c r="F284" i="11"/>
  <c r="F169" i="11"/>
  <c r="F115" i="11"/>
  <c r="F336" i="11"/>
  <c r="F176" i="11"/>
  <c r="F319" i="11"/>
  <c r="F196" i="11"/>
  <c r="F189" i="11"/>
  <c r="F294" i="11"/>
  <c r="F223" i="11"/>
  <c r="F53" i="11"/>
  <c r="F114" i="11"/>
  <c r="F193" i="11"/>
  <c r="F157" i="11"/>
  <c r="F66" i="11"/>
  <c r="F307" i="11"/>
  <c r="F256" i="11"/>
  <c r="F59" i="11"/>
  <c r="F110" i="11"/>
  <c r="F327" i="11"/>
  <c r="I27" i="10"/>
  <c r="I26" i="10"/>
  <c r="X19" i="8"/>
  <c r="Z19" i="8"/>
  <c r="X7" i="8"/>
  <c r="Z7" i="8"/>
  <c r="X18" i="8"/>
  <c r="Z18" i="8"/>
  <c r="X17" i="8"/>
  <c r="Z17" i="8"/>
  <c r="X36" i="8"/>
  <c r="X16" i="8"/>
  <c r="Z16" i="8"/>
  <c r="X35" i="8"/>
  <c r="X15" i="8"/>
  <c r="Z15" i="8"/>
  <c r="X34" i="8"/>
  <c r="X14" i="8"/>
  <c r="Z14" i="8"/>
  <c r="X33" i="8"/>
  <c r="X13" i="8"/>
  <c r="Z13" i="8"/>
  <c r="X32" i="8"/>
  <c r="X12" i="8"/>
  <c r="Z12" i="8"/>
  <c r="X31" i="8"/>
  <c r="X11" i="8"/>
  <c r="Z11" i="8"/>
  <c r="X30" i="8"/>
  <c r="X10" i="8"/>
  <c r="Z10" i="8"/>
  <c r="X29" i="8"/>
  <c r="X9" i="8"/>
  <c r="Z9" i="8"/>
  <c r="X28" i="8"/>
  <c r="X8" i="8"/>
  <c r="Z8" i="8"/>
  <c r="X27" i="8"/>
  <c r="X26" i="8"/>
  <c r="X25" i="8"/>
  <c r="X24" i="8"/>
  <c r="X23" i="8"/>
  <c r="X22" i="8"/>
  <c r="X21" i="8"/>
  <c r="Z21" i="8"/>
  <c r="X20" i="8"/>
  <c r="Z20" i="8"/>
  <c r="H25" i="10"/>
  <c r="E28" i="11"/>
  <c r="E29" i="11"/>
  <c r="E30" i="11"/>
  <c r="E31" i="11"/>
  <c r="E32" i="11"/>
  <c r="E33" i="11"/>
  <c r="E34" i="11"/>
  <c r="E35" i="11"/>
  <c r="E36" i="11"/>
  <c r="E37" i="11"/>
  <c r="E38" i="11"/>
  <c r="E39" i="11"/>
  <c r="U8" i="10"/>
  <c r="N8" i="10"/>
  <c r="H37" i="6"/>
  <c r="D40" i="6"/>
  <c r="S16" i="6"/>
  <c r="R25" i="6"/>
  <c r="R36" i="6"/>
  <c r="R31" i="6"/>
  <c r="R11" i="6"/>
  <c r="R18" i="6"/>
  <c r="R27" i="6"/>
  <c r="R19" i="6"/>
  <c r="R14" i="6"/>
  <c r="R16" i="6"/>
  <c r="R12" i="6"/>
  <c r="R35" i="6"/>
  <c r="R21" i="6"/>
  <c r="R20" i="6"/>
  <c r="R17" i="6"/>
  <c r="R26" i="6"/>
  <c r="R10" i="6"/>
  <c r="R29" i="6"/>
  <c r="R34" i="6"/>
  <c r="R8" i="6"/>
  <c r="R7" i="6"/>
  <c r="R22" i="6"/>
  <c r="R30" i="6"/>
  <c r="R32" i="6"/>
  <c r="R13" i="6"/>
  <c r="R9" i="6"/>
  <c r="R33" i="6"/>
  <c r="R23" i="6"/>
  <c r="R15" i="6"/>
  <c r="R28" i="6"/>
  <c r="R24" i="6"/>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H34" i="10"/>
  <c r="E21" i="12"/>
  <c r="H27" i="10"/>
  <c r="D28" i="10"/>
  <c r="H26" i="10"/>
  <c r="W25" i="10"/>
  <c r="W26" i="10"/>
  <c r="W7" i="10"/>
  <c r="W27" i="10"/>
  <c r="W8" i="10"/>
  <c r="W28" i="10"/>
  <c r="W9" i="10"/>
  <c r="W29" i="10"/>
  <c r="W10" i="10"/>
  <c r="W30" i="10"/>
  <c r="W11" i="10"/>
  <c r="W31" i="10"/>
  <c r="W12" i="10"/>
  <c r="W32" i="10"/>
  <c r="W33" i="10"/>
  <c r="W14" i="10"/>
  <c r="W34" i="10"/>
  <c r="W15" i="10"/>
  <c r="W35" i="10"/>
  <c r="W16" i="10"/>
  <c r="W36" i="10"/>
  <c r="W17" i="10"/>
  <c r="W18" i="10"/>
  <c r="W19" i="10"/>
  <c r="W20" i="10"/>
  <c r="W21" i="10"/>
  <c r="W22" i="10"/>
  <c r="W24" i="10"/>
  <c r="W23" i="10"/>
  <c r="W13" i="10"/>
  <c r="C167" i="4"/>
  <c r="B127" i="4"/>
  <c r="C355" i="4"/>
  <c r="C148" i="4"/>
  <c r="B326" i="4"/>
  <c r="B83" i="4"/>
  <c r="B268" i="4"/>
  <c r="C166" i="4"/>
  <c r="C271" i="4"/>
  <c r="B280" i="4"/>
  <c r="B71" i="4"/>
  <c r="B6" i="4"/>
  <c r="B346" i="4"/>
  <c r="C219" i="4"/>
  <c r="C259" i="4"/>
  <c r="C353" i="4"/>
  <c r="B271" i="4"/>
  <c r="C125" i="4"/>
  <c r="S18" i="6"/>
  <c r="C322" i="4"/>
  <c r="C204" i="4"/>
  <c r="C296" i="4"/>
  <c r="C295" i="4"/>
  <c r="B143" i="4"/>
  <c r="B75" i="4"/>
  <c r="B53" i="4"/>
  <c r="B112" i="4"/>
  <c r="B224" i="4"/>
  <c r="C317" i="4"/>
  <c r="B105" i="4"/>
  <c r="S23" i="6"/>
  <c r="B353" i="4"/>
  <c r="C199" i="4"/>
  <c r="B197" i="4"/>
  <c r="B341" i="4"/>
  <c r="C44" i="4"/>
  <c r="C291" i="4"/>
  <c r="C184" i="4"/>
  <c r="C258" i="4"/>
  <c r="C153" i="4"/>
  <c r="C12" i="4"/>
  <c r="C267" i="4"/>
  <c r="B347" i="4"/>
  <c r="C45" i="4"/>
  <c r="B216" i="4"/>
  <c r="B96" i="4"/>
  <c r="C15" i="4"/>
  <c r="B258" i="4"/>
  <c r="C143" i="4"/>
  <c r="B102" i="4"/>
  <c r="C26" i="4"/>
  <c r="C363" i="4"/>
  <c r="C52" i="4"/>
  <c r="C69" i="4"/>
  <c r="C361" i="4"/>
  <c r="C112" i="4"/>
  <c r="C315" i="4"/>
  <c r="C27" i="4"/>
  <c r="C334" i="4"/>
  <c r="C320" i="4"/>
  <c r="B121" i="4"/>
  <c r="C203" i="4"/>
  <c r="C193" i="4"/>
  <c r="B340" i="4"/>
  <c r="C55" i="4"/>
  <c r="C136" i="4"/>
  <c r="B362" i="4"/>
  <c r="B331" i="4"/>
  <c r="C303" i="4"/>
  <c r="C265" i="4"/>
  <c r="S20" i="6"/>
  <c r="B82" i="4"/>
  <c r="C152" i="4"/>
  <c r="B315" i="4"/>
  <c r="C4" i="4"/>
  <c r="C360" i="4"/>
  <c r="B120" i="4"/>
  <c r="B11" i="4"/>
  <c r="B261" i="4"/>
  <c r="C175" i="4"/>
  <c r="B95" i="4"/>
  <c r="C62" i="4"/>
  <c r="C302" i="4"/>
  <c r="S7" i="6"/>
  <c r="C173" i="4"/>
  <c r="B164" i="4"/>
  <c r="C326" i="4"/>
  <c r="C285" i="4"/>
  <c r="B10" i="4"/>
  <c r="C24" i="4"/>
  <c r="C83" i="4"/>
  <c r="B136" i="4"/>
  <c r="C298" i="4"/>
  <c r="S14" i="6"/>
  <c r="B253" i="4"/>
  <c r="B25" i="4"/>
  <c r="B32" i="4"/>
  <c r="C309" i="4"/>
  <c r="C161" i="4"/>
  <c r="C230" i="4"/>
  <c r="B262" i="4"/>
  <c r="B241" i="4"/>
  <c r="B281" i="4"/>
  <c r="C176" i="4"/>
  <c r="C60" i="4"/>
  <c r="C11" i="4"/>
  <c r="B259" i="4"/>
  <c r="B109" i="4"/>
  <c r="D43" i="6"/>
  <c r="E43" i="6"/>
  <c r="E45" i="6"/>
  <c r="E48" i="6"/>
  <c r="E55" i="6"/>
  <c r="H45" i="6"/>
  <c r="B295" i="4"/>
  <c r="C92" i="4"/>
  <c r="B205" i="4"/>
  <c r="B37" i="4"/>
  <c r="B245" i="4"/>
  <c r="B323" i="4"/>
  <c r="B343" i="4"/>
  <c r="B339" i="4"/>
  <c r="B77" i="4"/>
  <c r="C297" i="4"/>
  <c r="B140" i="4"/>
  <c r="B319" i="4"/>
  <c r="C66" i="4"/>
  <c r="B65" i="4"/>
  <c r="C231" i="4"/>
  <c r="C287" i="4"/>
  <c r="B137" i="4"/>
  <c r="B252" i="4"/>
  <c r="B254" i="4"/>
  <c r="B15" i="4"/>
  <c r="B46" i="4"/>
  <c r="C239" i="4"/>
  <c r="B72" i="4"/>
  <c r="B142" i="4"/>
  <c r="B356" i="4"/>
  <c r="C127" i="4"/>
  <c r="C223" i="4"/>
  <c r="B351" i="4"/>
  <c r="C40" i="4"/>
  <c r="C73" i="4"/>
  <c r="S8" i="6"/>
  <c r="B284" i="4"/>
  <c r="B276" i="4"/>
  <c r="C308" i="4"/>
  <c r="C311" i="4"/>
  <c r="B91" i="4"/>
  <c r="C293" i="4"/>
  <c r="B269" i="4"/>
  <c r="C189" i="4"/>
  <c r="C87" i="4"/>
  <c r="C67" i="4"/>
  <c r="B89" i="4"/>
  <c r="C157" i="4"/>
  <c r="C213" i="4"/>
  <c r="C163" i="4"/>
  <c r="C135" i="4"/>
  <c r="S35" i="6"/>
  <c r="B211" i="4"/>
  <c r="B100" i="4"/>
  <c r="C359" i="4"/>
  <c r="C180" i="4"/>
  <c r="C208" i="4"/>
  <c r="C236" i="4"/>
  <c r="B337" i="4"/>
  <c r="B214" i="4"/>
  <c r="B342" i="4"/>
  <c r="C123" i="4"/>
  <c r="C9" i="4"/>
  <c r="C97" i="4"/>
  <c r="S33" i="6"/>
  <c r="B151" i="4"/>
  <c r="C23" i="4"/>
  <c r="B233" i="4"/>
  <c r="C319" i="4"/>
  <c r="C299" i="4"/>
  <c r="S10" i="6"/>
  <c r="B250" i="4"/>
  <c r="C327" i="4"/>
  <c r="C159" i="4"/>
  <c r="B119" i="4"/>
  <c r="C307" i="4"/>
  <c r="B129" i="4"/>
  <c r="H43" i="8"/>
  <c r="B355" i="4"/>
  <c r="B30" i="4"/>
  <c r="B88" i="4"/>
  <c r="B195" i="4"/>
  <c r="C171" i="4"/>
  <c r="C284" i="4"/>
  <c r="C124" i="4"/>
  <c r="B345" i="4"/>
  <c r="B16" i="4"/>
  <c r="B181" i="4"/>
  <c r="C17" i="4"/>
  <c r="B180" i="4"/>
  <c r="C207" i="4"/>
  <c r="C316" i="4"/>
  <c r="C58" i="4"/>
  <c r="B154" i="4"/>
  <c r="B134" i="4"/>
  <c r="S31" i="6"/>
  <c r="B286" i="4"/>
  <c r="B231" i="4"/>
  <c r="C237" i="4"/>
  <c r="B294" i="4"/>
  <c r="B50" i="4"/>
  <c r="C226" i="4"/>
  <c r="B300" i="4"/>
  <c r="B196" i="4"/>
  <c r="B352" i="4"/>
  <c r="B320" i="4"/>
  <c r="S24" i="6"/>
  <c r="B240" i="4"/>
  <c r="C174" i="4"/>
  <c r="C42" i="4"/>
  <c r="C50" i="4"/>
  <c r="C257" i="4"/>
  <c r="S29" i="6"/>
  <c r="B158" i="4"/>
  <c r="B156" i="4"/>
  <c r="C337" i="4"/>
  <c r="C242" i="4"/>
  <c r="C206" i="4"/>
  <c r="C76" i="4"/>
  <c r="C34" i="4"/>
  <c r="C186" i="4"/>
  <c r="B183" i="4"/>
  <c r="B360" i="4"/>
  <c r="C106" i="4"/>
  <c r="C300" i="4"/>
  <c r="B328" i="4"/>
  <c r="B47" i="4"/>
  <c r="C357" i="4"/>
  <c r="B108" i="4"/>
  <c r="B153" i="4"/>
  <c r="C248" i="4"/>
  <c r="B209" i="4"/>
  <c r="B168" i="4"/>
  <c r="C89" i="4"/>
  <c r="B63" i="4"/>
  <c r="B264" i="4"/>
  <c r="B21" i="4"/>
  <c r="B225" i="4"/>
  <c r="S28" i="6"/>
  <c r="B171" i="4"/>
  <c r="C201" i="4"/>
  <c r="C352" i="4"/>
  <c r="C289" i="4"/>
  <c r="C7" i="4"/>
  <c r="C253" i="4"/>
  <c r="B43" i="4"/>
  <c r="B313" i="4"/>
  <c r="B44" i="4"/>
  <c r="C29" i="4"/>
  <c r="B22" i="4"/>
  <c r="C115" i="4"/>
  <c r="B24" i="4"/>
  <c r="C162" i="4"/>
  <c r="B242" i="4"/>
  <c r="B124" i="4"/>
  <c r="B116" i="4"/>
  <c r="B335" i="4"/>
  <c r="B93" i="4"/>
  <c r="C32" i="4"/>
  <c r="C111" i="4"/>
  <c r="B266" i="4"/>
  <c r="B60" i="4"/>
  <c r="C98" i="4"/>
  <c r="B20" i="4"/>
  <c r="B45" i="4"/>
  <c r="C25" i="4"/>
  <c r="B229" i="4"/>
  <c r="B122" i="4"/>
  <c r="B178" i="4"/>
  <c r="B306" i="4"/>
  <c r="S32" i="6"/>
  <c r="B34" i="4"/>
  <c r="B279" i="4"/>
  <c r="C38" i="4"/>
  <c r="B5" i="4"/>
  <c r="B132" i="4"/>
  <c r="C211" i="4"/>
  <c r="C263" i="4"/>
  <c r="C160" i="4"/>
  <c r="C288" i="4"/>
  <c r="C356" i="4"/>
  <c r="C275" i="4"/>
  <c r="B29" i="4"/>
  <c r="B55" i="4"/>
  <c r="B28" i="4"/>
  <c r="B324" i="4"/>
  <c r="B148" i="4"/>
  <c r="B204" i="4"/>
  <c r="B309" i="4"/>
  <c r="B222" i="4"/>
  <c r="B237" i="4"/>
  <c r="C305" i="4"/>
  <c r="B223" i="4"/>
  <c r="B321" i="4"/>
  <c r="B212" i="4"/>
  <c r="B220" i="4"/>
  <c r="C36" i="4"/>
  <c r="C268" i="4"/>
  <c r="C110" i="4"/>
  <c r="C350" i="4"/>
  <c r="B160" i="4"/>
  <c r="C282" i="4"/>
  <c r="C286" i="4"/>
  <c r="B169" i="4"/>
  <c r="C183" i="4"/>
  <c r="B98" i="4"/>
  <c r="B19" i="4"/>
  <c r="B357" i="4"/>
  <c r="D357" i="4"/>
  <c r="B61" i="4"/>
  <c r="C304" i="4"/>
  <c r="C210" i="4"/>
  <c r="B176" i="4"/>
  <c r="C146" i="4"/>
  <c r="B208" i="4"/>
  <c r="B226" i="4"/>
  <c r="B334" i="4"/>
  <c r="C238" i="4"/>
  <c r="C273" i="4"/>
  <c r="C196" i="4"/>
  <c r="B260" i="4"/>
  <c r="B221" i="4"/>
  <c r="B182" i="4"/>
  <c r="B251" i="4"/>
  <c r="B296" i="4"/>
  <c r="B297" i="4"/>
  <c r="B62" i="4"/>
  <c r="B193" i="4"/>
  <c r="C117" i="4"/>
  <c r="B31" i="4"/>
  <c r="C252" i="4"/>
  <c r="C86" i="4"/>
  <c r="C228" i="4"/>
  <c r="B186" i="4"/>
  <c r="C169" i="4"/>
  <c r="C140" i="4"/>
  <c r="B307" i="4"/>
  <c r="B152" i="4"/>
  <c r="C33" i="4"/>
  <c r="C105" i="4"/>
  <c r="C70" i="4"/>
  <c r="C224" i="4"/>
  <c r="C118" i="4"/>
  <c r="S25" i="6"/>
  <c r="C47" i="4"/>
  <c r="B283" i="4"/>
  <c r="C274" i="4"/>
  <c r="B92" i="4"/>
  <c r="C235" i="4"/>
  <c r="B198" i="4"/>
  <c r="B219" i="4"/>
  <c r="B246" i="4"/>
  <c r="C39" i="4"/>
  <c r="C14" i="4"/>
  <c r="C145" i="4"/>
  <c r="C142" i="4"/>
  <c r="B113" i="4"/>
  <c r="B359" i="4"/>
  <c r="B35" i="4"/>
  <c r="B230" i="4"/>
  <c r="C338" i="4"/>
  <c r="B305" i="4"/>
  <c r="C187" i="4"/>
  <c r="B86" i="4"/>
  <c r="B287" i="4"/>
  <c r="C82" i="4"/>
  <c r="B49" i="4"/>
  <c r="B236" i="4"/>
  <c r="B257" i="4"/>
  <c r="B94" i="4"/>
  <c r="B304" i="4"/>
  <c r="C109" i="4"/>
  <c r="S36" i="6"/>
  <c r="C200" i="4"/>
  <c r="B265" i="4"/>
  <c r="C294" i="4"/>
  <c r="C260" i="4"/>
  <c r="B41" i="4"/>
  <c r="B202" i="4"/>
  <c r="C35" i="4"/>
  <c r="C225" i="4"/>
  <c r="C99" i="4"/>
  <c r="C56" i="4"/>
  <c r="B59" i="4"/>
  <c r="C37" i="4"/>
  <c r="B117" i="4"/>
  <c r="C137" i="4"/>
  <c r="B125" i="4"/>
  <c r="C132" i="4"/>
  <c r="C261" i="4"/>
  <c r="C216" i="4"/>
  <c r="C240" i="4"/>
  <c r="S19" i="6"/>
  <c r="B78" i="4"/>
  <c r="B74" i="4"/>
  <c r="B179" i="4"/>
  <c r="C88" i="4"/>
  <c r="S17" i="6"/>
  <c r="C141" i="4"/>
  <c r="C120" i="4"/>
  <c r="C272" i="4"/>
  <c r="C80" i="4"/>
  <c r="C95" i="4"/>
  <c r="B13" i="4"/>
  <c r="B111" i="4"/>
  <c r="C241" i="4"/>
  <c r="C254" i="4"/>
  <c r="C330" i="4"/>
  <c r="C229" i="4"/>
  <c r="C250" i="4"/>
  <c r="C331" i="4"/>
  <c r="C188" i="4"/>
  <c r="B338" i="4"/>
  <c r="B332" i="4"/>
  <c r="B126" i="4"/>
  <c r="C71" i="4"/>
  <c r="C28" i="4"/>
  <c r="B206" i="4"/>
  <c r="C114" i="4"/>
  <c r="B201" i="4"/>
  <c r="B162" i="4"/>
  <c r="C30" i="4"/>
  <c r="S12" i="6"/>
  <c r="C220" i="4"/>
  <c r="C151" i="4"/>
  <c r="B147" i="4"/>
  <c r="C349" i="4"/>
  <c r="C134" i="4"/>
  <c r="B36" i="4"/>
  <c r="B69" i="4"/>
  <c r="B191" i="4"/>
  <c r="C96" i="4"/>
  <c r="C262" i="4"/>
  <c r="C306" i="4"/>
  <c r="C313" i="4"/>
  <c r="C264" i="4"/>
  <c r="B146" i="4"/>
  <c r="B42" i="4"/>
  <c r="B228" i="4"/>
  <c r="C178" i="4"/>
  <c r="C121" i="4"/>
  <c r="C144" i="4"/>
  <c r="C179" i="4"/>
  <c r="C197" i="4"/>
  <c r="B277" i="4"/>
  <c r="B325" i="4"/>
  <c r="C85" i="4"/>
  <c r="C72" i="4"/>
  <c r="C49" i="4"/>
  <c r="C172" i="4"/>
  <c r="B314" i="4"/>
  <c r="B278" i="4"/>
  <c r="B192" i="4"/>
  <c r="C251" i="4"/>
  <c r="S26" i="6"/>
  <c r="C218" i="4"/>
  <c r="C181" i="4"/>
  <c r="B145" i="4"/>
  <c r="C165" i="4"/>
  <c r="B185" i="4"/>
  <c r="B135" i="4"/>
  <c r="C212" i="4"/>
  <c r="B175" i="4"/>
  <c r="C351" i="4"/>
  <c r="C53" i="4"/>
  <c r="C278" i="4"/>
  <c r="B70" i="4"/>
  <c r="B51" i="4"/>
  <c r="B273" i="4"/>
  <c r="B301" i="4"/>
  <c r="C321" i="4"/>
  <c r="C310" i="4"/>
  <c r="C191" i="4"/>
  <c r="C346" i="4"/>
  <c r="B232" i="4"/>
  <c r="C57" i="4"/>
  <c r="C279" i="4"/>
  <c r="C22" i="4"/>
  <c r="C48" i="4"/>
  <c r="B322" i="4"/>
  <c r="C190" i="4"/>
  <c r="B275" i="4"/>
  <c r="C93" i="4"/>
  <c r="C232" i="4"/>
  <c r="B40" i="4"/>
  <c r="B144" i="4"/>
  <c r="B330" i="4"/>
  <c r="B118" i="4"/>
  <c r="B115" i="4"/>
  <c r="C358" i="4"/>
  <c r="B33" i="4"/>
  <c r="B350" i="4"/>
  <c r="B138" i="4"/>
  <c r="C221" i="4"/>
  <c r="B289" i="4"/>
  <c r="B310" i="4"/>
  <c r="B85" i="4"/>
  <c r="B354" i="4"/>
  <c r="B4" i="4"/>
  <c r="C94" i="4"/>
  <c r="B263" i="4"/>
  <c r="C340" i="4"/>
  <c r="B167" i="4"/>
  <c r="C269" i="4"/>
  <c r="B239" i="4"/>
  <c r="C215" i="4"/>
  <c r="B217" i="4"/>
  <c r="B194" i="4"/>
  <c r="C325" i="4"/>
  <c r="C8" i="4"/>
  <c r="B128" i="4"/>
  <c r="C247" i="4"/>
  <c r="C341" i="4"/>
  <c r="B270" i="4"/>
  <c r="C131" i="4"/>
  <c r="B26" i="4"/>
  <c r="B358" i="4"/>
  <c r="C78" i="4"/>
  <c r="B344" i="4"/>
  <c r="B56" i="4"/>
  <c r="B139" i="4"/>
  <c r="B48" i="4"/>
  <c r="B76" i="4"/>
  <c r="C65" i="4"/>
  <c r="B292" i="4"/>
  <c r="B333" i="4"/>
  <c r="C150" i="4"/>
  <c r="C185" i="4"/>
  <c r="C217" i="4"/>
  <c r="B285" i="4"/>
  <c r="B170" i="4"/>
  <c r="B244" i="4"/>
  <c r="B150" i="4"/>
  <c r="B336" i="4"/>
  <c r="C318" i="4"/>
  <c r="B282" i="4"/>
  <c r="C147" i="4"/>
  <c r="C332" i="4"/>
  <c r="C5" i="4"/>
  <c r="C68" i="4"/>
  <c r="B107" i="4"/>
  <c r="C243" i="4"/>
  <c r="C149" i="4"/>
  <c r="B58" i="4"/>
  <c r="C323" i="4"/>
  <c r="B190" i="4"/>
  <c r="B291" i="4"/>
  <c r="B349" i="4"/>
  <c r="C222" i="4"/>
  <c r="B213" i="4"/>
  <c r="C343" i="4"/>
  <c r="B68" i="4"/>
  <c r="B348" i="4"/>
  <c r="C102" i="4"/>
  <c r="C20" i="4"/>
  <c r="C51" i="4"/>
  <c r="B311" i="4"/>
  <c r="C130" i="4"/>
  <c r="C202" i="4"/>
  <c r="C91" i="4"/>
  <c r="C347" i="4"/>
  <c r="C209" i="4"/>
  <c r="B104" i="4"/>
  <c r="B238" i="4"/>
  <c r="C16" i="4"/>
  <c r="C266" i="4"/>
  <c r="B290" i="4"/>
  <c r="B247" i="4"/>
  <c r="B130" i="4"/>
  <c r="B114" i="4"/>
  <c r="B235" i="4"/>
  <c r="B318" i="4"/>
  <c r="B97" i="4"/>
  <c r="C198" i="4"/>
  <c r="B67" i="4"/>
  <c r="B23" i="4"/>
  <c r="C182" i="4"/>
  <c r="C333" i="4"/>
  <c r="C77" i="4"/>
  <c r="B27" i="4"/>
  <c r="C21" i="4"/>
  <c r="C103" i="4"/>
  <c r="C280" i="4"/>
  <c r="B90" i="4"/>
  <c r="C276" i="4"/>
  <c r="B106" i="4"/>
  <c r="B81" i="4"/>
  <c r="B38" i="4"/>
  <c r="B177" i="4"/>
  <c r="B361" i="4"/>
  <c r="C79" i="4"/>
  <c r="B166" i="4"/>
  <c r="B110" i="4"/>
  <c r="C81" i="4"/>
  <c r="B73" i="4"/>
  <c r="B299" i="4"/>
  <c r="C113" i="4"/>
  <c r="D113" i="4"/>
  <c r="B8" i="4"/>
  <c r="C133" i="4"/>
  <c r="C13" i="4"/>
  <c r="C63" i="4"/>
  <c r="B188" i="4"/>
  <c r="C256" i="4"/>
  <c r="S22" i="6"/>
  <c r="B363" i="4"/>
  <c r="B18" i="4"/>
  <c r="B234" i="4"/>
  <c r="B249" i="4"/>
  <c r="B54" i="4"/>
  <c r="C46" i="4"/>
  <c r="C31" i="4"/>
  <c r="C336" i="4"/>
  <c r="B308" i="4"/>
  <c r="B66" i="4"/>
  <c r="B255" i="4"/>
  <c r="C104" i="4"/>
  <c r="B288" i="4"/>
  <c r="S11" i="6"/>
  <c r="B161" i="4"/>
  <c r="B57" i="4"/>
  <c r="B248" i="4"/>
  <c r="C155" i="4"/>
  <c r="B256" i="4"/>
  <c r="B101" i="4"/>
  <c r="C6" i="4"/>
  <c r="B133" i="4"/>
  <c r="S9" i="6"/>
  <c r="C75" i="4"/>
  <c r="C312" i="4"/>
  <c r="C292" i="4"/>
  <c r="C168" i="4"/>
  <c r="B14" i="4"/>
  <c r="C129" i="4"/>
  <c r="C43" i="4"/>
  <c r="B99" i="4"/>
  <c r="B173" i="4"/>
  <c r="B199" i="4"/>
  <c r="B79" i="4"/>
  <c r="C339" i="4"/>
  <c r="C59" i="4"/>
  <c r="B274" i="4"/>
  <c r="B184" i="4"/>
  <c r="B7" i="4"/>
  <c r="C344" i="4"/>
  <c r="B272" i="4"/>
  <c r="C119" i="4"/>
  <c r="B149" i="4"/>
  <c r="S15" i="6"/>
  <c r="C328" i="4"/>
  <c r="B218" i="4"/>
  <c r="B172" i="4"/>
  <c r="B103" i="4"/>
  <c r="B302" i="4"/>
  <c r="B215" i="4"/>
  <c r="C158" i="4"/>
  <c r="B200" i="4"/>
  <c r="S13" i="6"/>
  <c r="B243" i="4"/>
  <c r="C362" i="4"/>
  <c r="B9" i="4"/>
  <c r="C283" i="4"/>
  <c r="C156" i="4"/>
  <c r="C234" i="4"/>
  <c r="B39" i="4"/>
  <c r="C10" i="4"/>
  <c r="C128" i="4"/>
  <c r="B84" i="4"/>
  <c r="C170" i="4"/>
  <c r="B316" i="4"/>
  <c r="C100" i="4"/>
  <c r="C107" i="4"/>
  <c r="C122" i="4"/>
  <c r="C64" i="4"/>
  <c r="B293" i="4"/>
  <c r="B187" i="4"/>
  <c r="B159" i="4"/>
  <c r="B298" i="4"/>
  <c r="B123" i="4"/>
  <c r="C348" i="4"/>
  <c r="C61" i="4"/>
  <c r="B189" i="4"/>
  <c r="B87" i="4"/>
  <c r="C329" i="4"/>
  <c r="C18" i="3"/>
  <c r="C21" i="3"/>
  <c r="C23" i="3"/>
  <c r="C28" i="3"/>
  <c r="D36" i="10"/>
  <c r="B52" i="4"/>
  <c r="S27" i="6"/>
  <c r="C108" i="4"/>
  <c r="C214" i="4"/>
  <c r="B317" i="4"/>
  <c r="B207" i="4"/>
  <c r="B203" i="4"/>
  <c r="B17" i="4"/>
  <c r="B12" i="4"/>
  <c r="B327" i="4"/>
  <c r="B157" i="4"/>
  <c r="S21" i="6"/>
  <c r="C101" i="4"/>
  <c r="C154" i="4"/>
  <c r="C233" i="4"/>
  <c r="C195" i="4"/>
  <c r="C54" i="4"/>
  <c r="B131" i="4"/>
  <c r="B174" i="4"/>
  <c r="C194" i="4"/>
  <c r="C249" i="4"/>
  <c r="B163" i="4"/>
  <c r="B267" i="4"/>
  <c r="C324" i="4"/>
  <c r="C177" i="4"/>
  <c r="B80" i="4"/>
  <c r="C84" i="4"/>
  <c r="B165" i="4"/>
  <c r="C255" i="4"/>
  <c r="C18" i="4"/>
  <c r="C74" i="4"/>
  <c r="C301" i="4"/>
  <c r="C244" i="4"/>
  <c r="S34" i="6"/>
  <c r="C281" i="4"/>
  <c r="B155" i="4"/>
  <c r="C164" i="4"/>
  <c r="B312" i="4"/>
  <c r="B329" i="4"/>
  <c r="B303" i="4"/>
  <c r="C227" i="4"/>
  <c r="B227" i="4"/>
  <c r="C335" i="4"/>
  <c r="C90" i="4"/>
  <c r="B210" i="4"/>
  <c r="C192" i="4"/>
  <c r="B64" i="4"/>
  <c r="C342" i="4"/>
  <c r="B141" i="4"/>
  <c r="C246" i="4"/>
  <c r="C270" i="4"/>
  <c r="C116" i="4"/>
  <c r="C205" i="4"/>
  <c r="C277" i="4"/>
  <c r="C314" i="4"/>
  <c r="C138" i="4"/>
  <c r="C139" i="4"/>
  <c r="C19" i="4"/>
  <c r="S30" i="6"/>
  <c r="C126" i="4"/>
  <c r="C354" i="4"/>
  <c r="C345" i="4"/>
  <c r="C245" i="4"/>
  <c r="C41" i="4"/>
  <c r="C290" i="4"/>
  <c r="E40" i="11"/>
  <c r="E41" i="11"/>
  <c r="E42" i="11"/>
  <c r="E43" i="11"/>
  <c r="E44" i="11"/>
  <c r="E45" i="11"/>
  <c r="E46" i="11"/>
  <c r="E47" i="11"/>
  <c r="E48" i="11"/>
  <c r="E49" i="11"/>
  <c r="E50" i="11"/>
  <c r="E51" i="11"/>
  <c r="U9" i="10"/>
  <c r="N9" i="10"/>
  <c r="T13" i="6"/>
  <c r="V13" i="6"/>
  <c r="T19" i="6"/>
  <c r="V19" i="6"/>
  <c r="T14" i="6"/>
  <c r="V14" i="6"/>
  <c r="T16" i="6"/>
  <c r="V16" i="6"/>
  <c r="T12" i="6"/>
  <c r="V12" i="6"/>
  <c r="T8" i="6"/>
  <c r="V8" i="6"/>
  <c r="T28" i="6"/>
  <c r="V28" i="6"/>
  <c r="T9" i="6"/>
  <c r="V9" i="6"/>
  <c r="T11" i="6"/>
  <c r="V11" i="6"/>
  <c r="T31" i="6"/>
  <c r="V31" i="6"/>
  <c r="T10" i="6"/>
  <c r="V10" i="6"/>
  <c r="T29" i="6"/>
  <c r="V29" i="6"/>
  <c r="T34" i="6"/>
  <c r="V34" i="6"/>
  <c r="T21" i="6"/>
  <c r="T30" i="6"/>
  <c r="V30" i="6"/>
  <c r="T22" i="6"/>
  <c r="V22" i="6"/>
  <c r="T7" i="6"/>
  <c r="V7" i="6"/>
  <c r="T26" i="6"/>
  <c r="V26" i="6"/>
  <c r="T18" i="6"/>
  <c r="V18" i="6"/>
  <c r="T32" i="6"/>
  <c r="V32" i="6"/>
  <c r="T17" i="6"/>
  <c r="V17" i="6"/>
  <c r="T24" i="6"/>
  <c r="V24" i="6"/>
  <c r="T33" i="6"/>
  <c r="V33" i="6"/>
  <c r="T20" i="6"/>
  <c r="V20" i="6"/>
  <c r="T27" i="6"/>
  <c r="V27" i="6"/>
  <c r="T15" i="6"/>
  <c r="V15" i="6"/>
  <c r="T25" i="6"/>
  <c r="V25" i="6"/>
  <c r="T35" i="6"/>
  <c r="V35" i="6"/>
  <c r="T36" i="6"/>
  <c r="V36" i="6"/>
  <c r="T23" i="6"/>
  <c r="V23" i="6"/>
  <c r="V21" i="6"/>
  <c r="D92" i="4"/>
  <c r="D57" i="4"/>
  <c r="D263" i="4"/>
  <c r="D304" i="4"/>
  <c r="D121" i="4"/>
  <c r="D324" i="4"/>
  <c r="D347" i="4"/>
  <c r="D5" i="4"/>
  <c r="D340" i="4"/>
  <c r="D30" i="4"/>
  <c r="D88" i="4"/>
  <c r="D158" i="4"/>
  <c r="D202" i="4"/>
  <c r="D281" i="4"/>
  <c r="D69" i="4"/>
  <c r="D72" i="4"/>
  <c r="D167" i="4"/>
  <c r="D95" i="4"/>
  <c r="D31" i="8"/>
  <c r="C29" i="12"/>
  <c r="D326" i="4"/>
  <c r="D349" i="4"/>
  <c r="D250" i="4"/>
  <c r="D44" i="4"/>
  <c r="D219" i="4"/>
  <c r="D151" i="4"/>
  <c r="D164" i="4"/>
  <c r="D91" i="4"/>
  <c r="D361" i="4"/>
  <c r="D245" i="4"/>
  <c r="D345" i="4"/>
  <c r="D231" i="4"/>
  <c r="D343" i="4"/>
  <c r="D303" i="4"/>
  <c r="E28" i="12"/>
  <c r="D27" i="10"/>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G290" i="11"/>
  <c r="G291" i="11"/>
  <c r="G292" i="11"/>
  <c r="G293" i="11"/>
  <c r="G294" i="11"/>
  <c r="G295" i="11"/>
  <c r="G296" i="11"/>
  <c r="G297" i="11"/>
  <c r="G298" i="11"/>
  <c r="G299" i="11"/>
  <c r="G300" i="11"/>
  <c r="G301" i="11"/>
  <c r="G302" i="11"/>
  <c r="G303" i="11"/>
  <c r="G304" i="11"/>
  <c r="G305" i="11"/>
  <c r="G306" i="11"/>
  <c r="G307" i="11"/>
  <c r="G308" i="11"/>
  <c r="G309" i="11"/>
  <c r="G310" i="11"/>
  <c r="G311" i="11"/>
  <c r="G312" i="11"/>
  <c r="G313" i="11"/>
  <c r="G314" i="11"/>
  <c r="G315" i="11"/>
  <c r="G316" i="11"/>
  <c r="G317" i="11"/>
  <c r="G318" i="11"/>
  <c r="G319" i="11"/>
  <c r="G320" i="11"/>
  <c r="G321" i="11"/>
  <c r="G322" i="11"/>
  <c r="G323" i="11"/>
  <c r="G324" i="11"/>
  <c r="G325" i="11"/>
  <c r="G326" i="11"/>
  <c r="G327" i="11"/>
  <c r="G328" i="11"/>
  <c r="G329" i="11"/>
  <c r="G330" i="11"/>
  <c r="G331" i="11"/>
  <c r="G332" i="11"/>
  <c r="G333" i="11"/>
  <c r="G334" i="11"/>
  <c r="G335" i="11"/>
  <c r="G336" i="11"/>
  <c r="G337" i="11"/>
  <c r="G338" i="11"/>
  <c r="G339" i="11"/>
  <c r="G340" i="11"/>
  <c r="G341" i="11"/>
  <c r="G342" i="11"/>
  <c r="G343" i="11"/>
  <c r="G344" i="11"/>
  <c r="G345" i="11"/>
  <c r="G346" i="11"/>
  <c r="G347" i="11"/>
  <c r="G348" i="11"/>
  <c r="G349" i="11"/>
  <c r="G350" i="11"/>
  <c r="G351" i="11"/>
  <c r="G352" i="11"/>
  <c r="G353" i="11"/>
  <c r="G354" i="11"/>
  <c r="G355" i="11"/>
  <c r="G356" i="11"/>
  <c r="G357" i="11"/>
  <c r="G358" i="11"/>
  <c r="G359" i="11"/>
  <c r="G360" i="11"/>
  <c r="G361" i="11"/>
  <c r="G362" i="11"/>
  <c r="G363" i="11"/>
  <c r="H37" i="10"/>
  <c r="D352" i="4"/>
  <c r="D74" i="4"/>
  <c r="D64" i="4"/>
  <c r="D341" i="4"/>
  <c r="D309" i="4"/>
  <c r="D315" i="4"/>
  <c r="D291" i="4"/>
  <c r="D82" i="4"/>
  <c r="D344" i="4"/>
  <c r="D238" i="4"/>
  <c r="D197" i="4"/>
  <c r="D13" i="4"/>
  <c r="D286" i="4"/>
  <c r="D15" i="4"/>
  <c r="D143" i="4"/>
  <c r="D139" i="4"/>
  <c r="D104" i="4"/>
  <c r="D93" i="4"/>
  <c r="D179" i="4"/>
  <c r="D282" i="4"/>
  <c r="D60" i="4"/>
  <c r="D355" i="4"/>
  <c r="D337" i="4"/>
  <c r="D356" i="4"/>
  <c r="D42" i="4"/>
  <c r="D246" i="4"/>
  <c r="D327" i="4"/>
  <c r="D198" i="4"/>
  <c r="D223" i="4"/>
  <c r="D66" i="4"/>
  <c r="D332" i="4"/>
  <c r="D78" i="4"/>
  <c r="D12" i="4"/>
  <c r="D302" i="4"/>
  <c r="D129" i="4"/>
  <c r="D308" i="4"/>
  <c r="D348" i="4"/>
  <c r="D262" i="4"/>
  <c r="D176" i="4"/>
  <c r="D77" i="4"/>
  <c r="D203" i="4"/>
  <c r="D33" i="4"/>
  <c r="D218" i="4"/>
  <c r="D358" i="4"/>
  <c r="D127" i="4"/>
  <c r="D204" i="4"/>
  <c r="D134" i="4"/>
  <c r="D319" i="4"/>
  <c r="D153" i="4"/>
  <c r="D11" i="4"/>
  <c r="D166" i="4"/>
  <c r="D271" i="4"/>
  <c r="D181" i="4"/>
  <c r="D236" i="4"/>
  <c r="D148" i="4"/>
  <c r="D37" i="4"/>
  <c r="D346" i="4"/>
  <c r="D351" i="4"/>
  <c r="D360" i="4"/>
  <c r="D259" i="4"/>
  <c r="D105" i="4"/>
  <c r="D228" i="4"/>
  <c r="D280" i="4"/>
  <c r="D55" i="4"/>
  <c r="D38" i="4"/>
  <c r="D320" i="4"/>
  <c r="D353" i="4"/>
  <c r="D126" i="4"/>
  <c r="D83" i="4"/>
  <c r="D39" i="4"/>
  <c r="D58" i="4"/>
  <c r="D86" i="4"/>
  <c r="D251" i="4"/>
  <c r="D175" i="4"/>
  <c r="D331" i="4"/>
  <c r="D258" i="4"/>
  <c r="D87" i="4"/>
  <c r="D184" i="4"/>
  <c r="D188" i="4"/>
  <c r="D209" i="4"/>
  <c r="D305" i="4"/>
  <c r="D50" i="4"/>
  <c r="D112" i="4"/>
  <c r="D135" i="4"/>
  <c r="D27" i="4"/>
  <c r="D322" i="4"/>
  <c r="D120" i="4"/>
  <c r="D32" i="4"/>
  <c r="D339" i="4"/>
  <c r="D4" i="4"/>
  <c r="D273" i="4"/>
  <c r="D268" i="4"/>
  <c r="D79" i="4"/>
  <c r="D130" i="4"/>
  <c r="D145" i="4"/>
  <c r="D199" i="4"/>
  <c r="D71" i="4"/>
  <c r="D189" i="4"/>
  <c r="D56" i="4"/>
  <c r="D65" i="4"/>
  <c r="D299" i="4"/>
  <c r="D157" i="4"/>
  <c r="D99" i="4"/>
  <c r="D255" i="4"/>
  <c r="D73" i="4"/>
  <c r="D208" i="4"/>
  <c r="D321" i="4"/>
  <c r="D140" i="4"/>
  <c r="D269" i="4"/>
  <c r="D293" i="4"/>
  <c r="D97" i="4"/>
  <c r="D342" i="4"/>
  <c r="D317" i="4"/>
  <c r="D214" i="4"/>
  <c r="D75" i="4"/>
  <c r="D247" i="4"/>
  <c r="D185" i="4"/>
  <c r="D125" i="4"/>
  <c r="D193" i="4"/>
  <c r="D229" i="4"/>
  <c r="D335" i="4"/>
  <c r="D108" i="4"/>
  <c r="D70" i="4"/>
  <c r="D137" i="4"/>
  <c r="D25" i="4"/>
  <c r="D328" i="4"/>
  <c r="D163" i="4"/>
  <c r="D119" i="4"/>
  <c r="D266" i="4"/>
  <c r="D144" i="4"/>
  <c r="D147" i="4"/>
  <c r="D241" i="4"/>
  <c r="D297" i="4"/>
  <c r="D28" i="4"/>
  <c r="D45" i="4"/>
  <c r="D253" i="4"/>
  <c r="D124" i="4"/>
  <c r="D89" i="4"/>
  <c r="D26" i="4"/>
  <c r="D224" i="4"/>
  <c r="D165" i="4"/>
  <c r="D237" i="4"/>
  <c r="D213" i="4"/>
  <c r="D152" i="4"/>
  <c r="D267" i="4"/>
  <c r="D84" i="4"/>
  <c r="D330" i="4"/>
  <c r="D254" i="4"/>
  <c r="D62" i="4"/>
  <c r="D43" i="4"/>
  <c r="D136" i="4"/>
  <c r="D10" i="4"/>
  <c r="D6" i="4"/>
  <c r="D276" i="4"/>
  <c r="D323" i="4"/>
  <c r="D40" i="4"/>
  <c r="D53" i="4"/>
  <c r="D277" i="4"/>
  <c r="D111" i="4"/>
  <c r="D287" i="4"/>
  <c r="D296" i="4"/>
  <c r="D169" i="4"/>
  <c r="D196" i="4"/>
  <c r="D284" i="4"/>
  <c r="D295" i="4"/>
  <c r="D300" i="4"/>
  <c r="D183" i="4"/>
  <c r="D275" i="4"/>
  <c r="D171" i="4"/>
  <c r="D45" i="6"/>
  <c r="D195" i="4"/>
  <c r="D9" i="4"/>
  <c r="D59" i="4"/>
  <c r="D201" i="4"/>
  <c r="D230" i="4"/>
  <c r="D233" i="4"/>
  <c r="D362" i="4"/>
  <c r="D161" i="4"/>
  <c r="D205" i="4"/>
  <c r="D123" i="4"/>
  <c r="D206" i="4"/>
  <c r="D359" i="4"/>
  <c r="D211" i="4"/>
  <c r="D298" i="4"/>
  <c r="D182" i="4"/>
  <c r="D311" i="4"/>
  <c r="D279" i="4"/>
  <c r="D260" i="4"/>
  <c r="D307" i="4"/>
  <c r="D334" i="4"/>
  <c r="D116" i="4"/>
  <c r="D301" i="4"/>
  <c r="D159" i="4"/>
  <c r="D200" i="4"/>
  <c r="D173" i="4"/>
  <c r="D23" i="4"/>
  <c r="D310" i="4"/>
  <c r="D294" i="4"/>
  <c r="D142" i="4"/>
  <c r="D226" i="4"/>
  <c r="D52" i="4"/>
  <c r="D363" i="4"/>
  <c r="D239" i="4"/>
  <c r="D47" i="4"/>
  <c r="D67" i="4"/>
  <c r="D20" i="4"/>
  <c r="D289" i="4"/>
  <c r="D265" i="4"/>
  <c r="D81" i="4"/>
  <c r="D102" i="4"/>
  <c r="D221" i="4"/>
  <c r="D138" i="4"/>
  <c r="D24" i="4"/>
  <c r="D103" i="4"/>
  <c r="D96" i="4"/>
  <c r="D109" i="4"/>
  <c r="D191" i="4"/>
  <c r="D216" i="4"/>
  <c r="D252" i="4"/>
  <c r="D180" i="4"/>
  <c r="D41" i="4"/>
  <c r="D100" i="4"/>
  <c r="D46" i="4"/>
  <c r="D285" i="4"/>
  <c r="D261" i="4"/>
  <c r="D217" i="4"/>
  <c r="D257" i="4"/>
  <c r="D162" i="4"/>
  <c r="D256" i="4"/>
  <c r="D234" i="4"/>
  <c r="D128" i="4"/>
  <c r="D313" i="4"/>
  <c r="D114" i="4"/>
  <c r="D132" i="4"/>
  <c r="D35" i="4"/>
  <c r="D118" i="4"/>
  <c r="D117" i="4"/>
  <c r="D220" i="4"/>
  <c r="D288" i="4"/>
  <c r="D22" i="4"/>
  <c r="D34" i="4"/>
  <c r="D215" i="4"/>
  <c r="D18" i="4"/>
  <c r="D243" i="4"/>
  <c r="D8" i="4"/>
  <c r="D48" i="4"/>
  <c r="D210" i="4"/>
  <c r="D212" i="4"/>
  <c r="D160" i="4"/>
  <c r="D110" i="4"/>
  <c r="D194" i="4"/>
  <c r="D316" i="4"/>
  <c r="D248" i="4"/>
  <c r="D325" i="4"/>
  <c r="D98" i="4"/>
  <c r="D19" i="4"/>
  <c r="D61" i="4"/>
  <c r="D14" i="4"/>
  <c r="D168" i="4"/>
  <c r="D156" i="4"/>
  <c r="D272" i="4"/>
  <c r="D16" i="4"/>
  <c r="D94" i="4"/>
  <c r="D232" i="4"/>
  <c r="D242" i="4"/>
  <c r="D51" i="4"/>
  <c r="D278" i="4"/>
  <c r="D264" i="4"/>
  <c r="D283" i="4"/>
  <c r="D29" i="4"/>
  <c r="D178" i="4"/>
  <c r="D54" i="4"/>
  <c r="D225" i="4"/>
  <c r="D155" i="4"/>
  <c r="D101" i="4"/>
  <c r="D85" i="4"/>
  <c r="D172" i="4"/>
  <c r="D36" i="4"/>
  <c r="D115" i="4"/>
  <c r="D21" i="4"/>
  <c r="D186" i="4"/>
  <c r="D63" i="4"/>
  <c r="D80" i="4"/>
  <c r="D17" i="4"/>
  <c r="D122" i="4"/>
  <c r="D207" i="4"/>
  <c r="D333" i="4"/>
  <c r="D190" i="4"/>
  <c r="D192" i="4"/>
  <c r="D146" i="4"/>
  <c r="D187" i="4"/>
  <c r="D350" i="4"/>
  <c r="D306" i="4"/>
  <c r="D106" i="4"/>
  <c r="D154" i="4"/>
  <c r="D240" i="4"/>
  <c r="D329" i="4"/>
  <c r="D76" i="4"/>
  <c r="D90" i="4"/>
  <c r="D68" i="4"/>
  <c r="D338" i="4"/>
  <c r="D141" i="4"/>
  <c r="D49" i="4"/>
  <c r="D149" i="4"/>
  <c r="D292" i="4"/>
  <c r="D36" i="6"/>
  <c r="D38" i="6"/>
  <c r="D31" i="4"/>
  <c r="D270" i="4"/>
  <c r="D174" i="4"/>
  <c r="D274" i="4"/>
  <c r="D131" i="4"/>
  <c r="E4" i="4"/>
  <c r="E5" i="4"/>
  <c r="E6" i="4"/>
  <c r="E7" i="4"/>
  <c r="E8" i="4"/>
  <c r="E9" i="4"/>
  <c r="E10" i="4"/>
  <c r="E11" i="4"/>
  <c r="E12" i="4"/>
  <c r="E13" i="4"/>
  <c r="E14" i="4"/>
  <c r="E15" i="4"/>
  <c r="D177" i="4"/>
  <c r="D354" i="4"/>
  <c r="D235" i="4"/>
  <c r="D133" i="4"/>
  <c r="D318" i="4"/>
  <c r="D314" i="4"/>
  <c r="D336" i="4"/>
  <c r="D227" i="4"/>
  <c r="D222" i="4"/>
  <c r="D150" i="4"/>
  <c r="D7" i="4"/>
  <c r="D312" i="4"/>
  <c r="D244" i="4"/>
  <c r="D170" i="4"/>
  <c r="D107" i="4"/>
  <c r="D249" i="4"/>
  <c r="D290" i="4"/>
  <c r="E52" i="11"/>
  <c r="E53" i="11"/>
  <c r="E54" i="11"/>
  <c r="E55" i="11"/>
  <c r="E56" i="11"/>
  <c r="E57" i="11"/>
  <c r="E58" i="11"/>
  <c r="E59" i="11"/>
  <c r="E60" i="11"/>
  <c r="E61" i="11"/>
  <c r="E62" i="11"/>
  <c r="E63" i="11"/>
  <c r="U10" i="10"/>
  <c r="N10" i="10"/>
  <c r="D38" i="10"/>
  <c r="H38" i="10"/>
  <c r="D19" i="12"/>
  <c r="X6" i="6"/>
  <c r="Z6" i="6"/>
  <c r="D48" i="6"/>
  <c r="D55" i="6"/>
  <c r="I52" i="6"/>
  <c r="E16" i="4"/>
  <c r="E17" i="4"/>
  <c r="E18" i="4"/>
  <c r="E19" i="4"/>
  <c r="E20" i="4"/>
  <c r="E21" i="4"/>
  <c r="E22" i="4"/>
  <c r="E23" i="4"/>
  <c r="E24" i="4"/>
  <c r="E25" i="4"/>
  <c r="E26" i="4"/>
  <c r="E27" i="4"/>
  <c r="U7" i="6"/>
  <c r="P21" i="10"/>
  <c r="E19" i="12"/>
  <c r="E64" i="11"/>
  <c r="E65" i="11"/>
  <c r="E66" i="11"/>
  <c r="E67" i="11"/>
  <c r="E68" i="11"/>
  <c r="E69" i="11"/>
  <c r="E70" i="11"/>
  <c r="E71" i="11"/>
  <c r="E72" i="11"/>
  <c r="E73" i="11"/>
  <c r="E74" i="11"/>
  <c r="E75" i="11"/>
  <c r="U11" i="10"/>
  <c r="N11" i="10"/>
  <c r="P33" i="10"/>
  <c r="P25" i="10"/>
  <c r="P34" i="10"/>
  <c r="P11" i="10"/>
  <c r="P7" i="10"/>
  <c r="O7" i="10"/>
  <c r="P16" i="10"/>
  <c r="P17" i="10"/>
  <c r="P23" i="10"/>
  <c r="P12" i="10"/>
  <c r="P29" i="10"/>
  <c r="P31" i="10"/>
  <c r="P8" i="10"/>
  <c r="O8" i="10"/>
  <c r="P32" i="10"/>
  <c r="P28" i="10"/>
  <c r="P22" i="10"/>
  <c r="P26" i="10"/>
  <c r="P10" i="10"/>
  <c r="O10" i="10"/>
  <c r="P18" i="10"/>
  <c r="P27" i="10"/>
  <c r="P9" i="10"/>
  <c r="O9" i="10"/>
  <c r="D26" i="10"/>
  <c r="P36" i="10"/>
  <c r="P30" i="10"/>
  <c r="P15" i="10"/>
  <c r="P35" i="10"/>
  <c r="P14" i="10"/>
  <c r="P24" i="10"/>
  <c r="P19" i="10"/>
  <c r="P13" i="10"/>
  <c r="P20" i="10"/>
  <c r="P9" i="6"/>
  <c r="P31" i="6"/>
  <c r="P22" i="6"/>
  <c r="P15" i="6"/>
  <c r="P26" i="6"/>
  <c r="P32" i="6"/>
  <c r="P27" i="6"/>
  <c r="P35" i="6"/>
  <c r="P29" i="6"/>
  <c r="P23" i="6"/>
  <c r="P12" i="6"/>
  <c r="P28" i="6"/>
  <c r="P10" i="6"/>
  <c r="P14" i="6"/>
  <c r="P36" i="6"/>
  <c r="P21" i="6"/>
  <c r="P25" i="6"/>
  <c r="P19" i="6"/>
  <c r="P30" i="6"/>
  <c r="P16" i="6"/>
  <c r="P34" i="6"/>
  <c r="P8" i="6"/>
  <c r="P7" i="6"/>
  <c r="P17" i="6"/>
  <c r="P11" i="6"/>
  <c r="D26" i="6"/>
  <c r="P20" i="6"/>
  <c r="P18" i="6"/>
  <c r="P33" i="6"/>
  <c r="P13" i="6"/>
  <c r="P24" i="6"/>
  <c r="E24" i="12"/>
  <c r="D32" i="10"/>
  <c r="E28" i="4"/>
  <c r="E29" i="4"/>
  <c r="E30" i="4"/>
  <c r="E31" i="4"/>
  <c r="E32" i="4"/>
  <c r="E33" i="4"/>
  <c r="E34" i="4"/>
  <c r="E35" i="4"/>
  <c r="E36" i="4"/>
  <c r="E37" i="4"/>
  <c r="E38" i="4"/>
  <c r="E39" i="4"/>
  <c r="U8" i="6"/>
  <c r="O11" i="10"/>
  <c r="U12" i="10"/>
  <c r="E76" i="11"/>
  <c r="E77" i="11"/>
  <c r="E78" i="11"/>
  <c r="E79" i="11"/>
  <c r="E80" i="11"/>
  <c r="E81" i="11"/>
  <c r="E82" i="11"/>
  <c r="E83" i="11"/>
  <c r="E84" i="11"/>
  <c r="E85" i="11"/>
  <c r="E86" i="11"/>
  <c r="E87" i="11"/>
  <c r="N12" i="10"/>
  <c r="O12" i="10"/>
  <c r="E40" i="4"/>
  <c r="E41" i="4"/>
  <c r="E42" i="4"/>
  <c r="E43" i="4"/>
  <c r="E44" i="4"/>
  <c r="E45" i="4"/>
  <c r="E46" i="4"/>
  <c r="E47" i="4"/>
  <c r="E48" i="4"/>
  <c r="E49" i="4"/>
  <c r="E50" i="4"/>
  <c r="E51" i="4"/>
  <c r="U9" i="6"/>
  <c r="E88" i="11"/>
  <c r="E89" i="11"/>
  <c r="E90" i="11"/>
  <c r="E91" i="11"/>
  <c r="E92" i="11"/>
  <c r="E93" i="11"/>
  <c r="E94" i="11"/>
  <c r="E95" i="11"/>
  <c r="E96" i="11"/>
  <c r="E97" i="11"/>
  <c r="E98" i="11"/>
  <c r="E99" i="11"/>
  <c r="U13" i="10"/>
  <c r="N13" i="10"/>
  <c r="O13" i="10"/>
  <c r="E52" i="4"/>
  <c r="E53" i="4"/>
  <c r="E54" i="4"/>
  <c r="E55" i="4"/>
  <c r="E56" i="4"/>
  <c r="E57" i="4"/>
  <c r="E58" i="4"/>
  <c r="E59" i="4"/>
  <c r="E60" i="4"/>
  <c r="E61" i="4"/>
  <c r="E62" i="4"/>
  <c r="E63" i="4"/>
  <c r="U10" i="6"/>
  <c r="U14" i="10"/>
  <c r="E100" i="11"/>
  <c r="E101" i="11"/>
  <c r="E102" i="11"/>
  <c r="E103" i="11"/>
  <c r="E104" i="11"/>
  <c r="E105" i="11"/>
  <c r="E106" i="11"/>
  <c r="E107" i="11"/>
  <c r="E108" i="11"/>
  <c r="E109" i="11"/>
  <c r="E110" i="11"/>
  <c r="E111" i="11"/>
  <c r="N14" i="10"/>
  <c r="O14" i="10"/>
  <c r="E64" i="4"/>
  <c r="E65" i="4"/>
  <c r="E66" i="4"/>
  <c r="E67" i="4"/>
  <c r="E68" i="4"/>
  <c r="E69" i="4"/>
  <c r="E70" i="4"/>
  <c r="E71" i="4"/>
  <c r="E72" i="4"/>
  <c r="E73" i="4"/>
  <c r="E74" i="4"/>
  <c r="E75" i="4"/>
  <c r="U11" i="6"/>
  <c r="E112" i="11"/>
  <c r="E113" i="11"/>
  <c r="E114" i="11"/>
  <c r="E115" i="11"/>
  <c r="E116" i="11"/>
  <c r="E117" i="11"/>
  <c r="E118" i="11"/>
  <c r="E119" i="11"/>
  <c r="E120" i="11"/>
  <c r="E121" i="11"/>
  <c r="E122" i="11"/>
  <c r="E123" i="11"/>
  <c r="U15" i="10"/>
  <c r="N15" i="10"/>
  <c r="O15" i="10"/>
  <c r="E76" i="4"/>
  <c r="E77" i="4"/>
  <c r="E78" i="4"/>
  <c r="E79" i="4"/>
  <c r="E80" i="4"/>
  <c r="E81" i="4"/>
  <c r="E82" i="4"/>
  <c r="E83" i="4"/>
  <c r="E84" i="4"/>
  <c r="E85" i="4"/>
  <c r="E86" i="4"/>
  <c r="E87" i="4"/>
  <c r="U12" i="6"/>
  <c r="E124" i="11"/>
  <c r="E125" i="11"/>
  <c r="E126" i="11"/>
  <c r="E127" i="11"/>
  <c r="E128" i="11"/>
  <c r="E129" i="11"/>
  <c r="E130" i="11"/>
  <c r="E131" i="11"/>
  <c r="E132" i="11"/>
  <c r="E133" i="11"/>
  <c r="E134" i="11"/>
  <c r="E135" i="11"/>
  <c r="U16" i="10"/>
  <c r="N16" i="10"/>
  <c r="O16" i="10"/>
  <c r="E88" i="4"/>
  <c r="E89" i="4"/>
  <c r="E90" i="4"/>
  <c r="E91" i="4"/>
  <c r="E92" i="4"/>
  <c r="E93" i="4"/>
  <c r="E94" i="4"/>
  <c r="E95" i="4"/>
  <c r="E96" i="4"/>
  <c r="E97" i="4"/>
  <c r="E98" i="4"/>
  <c r="E99" i="4"/>
  <c r="U13" i="6"/>
  <c r="E136" i="11"/>
  <c r="E137" i="11"/>
  <c r="E138" i="11"/>
  <c r="E139" i="11"/>
  <c r="E140" i="11"/>
  <c r="E141" i="11"/>
  <c r="E142" i="11"/>
  <c r="E143" i="11"/>
  <c r="E144" i="11"/>
  <c r="E145" i="11"/>
  <c r="E146" i="11"/>
  <c r="E147" i="11"/>
  <c r="U17" i="10"/>
  <c r="N17" i="10"/>
  <c r="O17" i="10"/>
  <c r="E100" i="4"/>
  <c r="E101" i="4"/>
  <c r="E102" i="4"/>
  <c r="E103" i="4"/>
  <c r="E104" i="4"/>
  <c r="E105" i="4"/>
  <c r="E106" i="4"/>
  <c r="E107" i="4"/>
  <c r="E108" i="4"/>
  <c r="E109" i="4"/>
  <c r="E110" i="4"/>
  <c r="E111" i="4"/>
  <c r="U14" i="6"/>
  <c r="U18" i="10"/>
  <c r="E148" i="11"/>
  <c r="E149" i="11"/>
  <c r="E150" i="11"/>
  <c r="E151" i="11"/>
  <c r="E152" i="11"/>
  <c r="E153" i="11"/>
  <c r="E154" i="11"/>
  <c r="E155" i="11"/>
  <c r="E156" i="11"/>
  <c r="E157" i="11"/>
  <c r="E158" i="11"/>
  <c r="E159" i="11"/>
  <c r="N18" i="10"/>
  <c r="O18" i="10"/>
  <c r="E112" i="4"/>
  <c r="E113" i="4"/>
  <c r="E114" i="4"/>
  <c r="E115" i="4"/>
  <c r="E116" i="4"/>
  <c r="E117" i="4"/>
  <c r="E118" i="4"/>
  <c r="E119" i="4"/>
  <c r="E120" i="4"/>
  <c r="E121" i="4"/>
  <c r="E122" i="4"/>
  <c r="E123" i="4"/>
  <c r="U15" i="6"/>
  <c r="U19" i="10"/>
  <c r="E160" i="11"/>
  <c r="E161" i="11"/>
  <c r="E162" i="11"/>
  <c r="E163" i="11"/>
  <c r="E164" i="11"/>
  <c r="E165" i="11"/>
  <c r="E166" i="11"/>
  <c r="E167" i="11"/>
  <c r="E168" i="11"/>
  <c r="E169" i="11"/>
  <c r="E170" i="11"/>
  <c r="E171" i="11"/>
  <c r="N19" i="10"/>
  <c r="O19" i="10"/>
  <c r="E124" i="4"/>
  <c r="E125" i="4"/>
  <c r="E126" i="4"/>
  <c r="E127" i="4"/>
  <c r="E128" i="4"/>
  <c r="E129" i="4"/>
  <c r="E130" i="4"/>
  <c r="E131" i="4"/>
  <c r="E132" i="4"/>
  <c r="E133" i="4"/>
  <c r="E134" i="4"/>
  <c r="E135" i="4"/>
  <c r="U16" i="6"/>
  <c r="E172" i="11"/>
  <c r="E173" i="11"/>
  <c r="E174" i="11"/>
  <c r="E175" i="11"/>
  <c r="E176" i="11"/>
  <c r="E177" i="11"/>
  <c r="E178" i="11"/>
  <c r="E179" i="11"/>
  <c r="E180" i="11"/>
  <c r="E181" i="11"/>
  <c r="E182" i="11"/>
  <c r="E183" i="11"/>
  <c r="U20" i="10"/>
  <c r="N20" i="10"/>
  <c r="O20" i="10"/>
  <c r="E136" i="4"/>
  <c r="E137" i="4"/>
  <c r="E138" i="4"/>
  <c r="E139" i="4"/>
  <c r="E140" i="4"/>
  <c r="E141" i="4"/>
  <c r="E142" i="4"/>
  <c r="E143" i="4"/>
  <c r="E144" i="4"/>
  <c r="E145" i="4"/>
  <c r="E146" i="4"/>
  <c r="E147" i="4"/>
  <c r="U17" i="6"/>
  <c r="E184" i="11"/>
  <c r="E185" i="11"/>
  <c r="E186" i="11"/>
  <c r="E187" i="11"/>
  <c r="E188" i="11"/>
  <c r="E189" i="11"/>
  <c r="E190" i="11"/>
  <c r="E191" i="11"/>
  <c r="E192" i="11"/>
  <c r="E193" i="11"/>
  <c r="E194" i="11"/>
  <c r="E195" i="11"/>
  <c r="U21" i="10"/>
  <c r="N21" i="10"/>
  <c r="O21" i="10"/>
  <c r="E148" i="4"/>
  <c r="E149" i="4"/>
  <c r="E150" i="4"/>
  <c r="E151" i="4"/>
  <c r="E152" i="4"/>
  <c r="E153" i="4"/>
  <c r="E154" i="4"/>
  <c r="E155" i="4"/>
  <c r="E156" i="4"/>
  <c r="E157" i="4"/>
  <c r="E158" i="4"/>
  <c r="E159" i="4"/>
  <c r="U18" i="6"/>
  <c r="E196" i="11"/>
  <c r="E197" i="11"/>
  <c r="E198" i="11"/>
  <c r="E199" i="11"/>
  <c r="E200" i="11"/>
  <c r="E201" i="11"/>
  <c r="E202" i="11"/>
  <c r="E203" i="11"/>
  <c r="E204" i="11"/>
  <c r="E205" i="11"/>
  <c r="E206" i="11"/>
  <c r="E207" i="11"/>
  <c r="U22" i="10"/>
  <c r="N22" i="10"/>
  <c r="O22" i="10"/>
  <c r="E160" i="4"/>
  <c r="E161" i="4"/>
  <c r="E162" i="4"/>
  <c r="E163" i="4"/>
  <c r="E164" i="4"/>
  <c r="E165" i="4"/>
  <c r="E166" i="4"/>
  <c r="E167" i="4"/>
  <c r="E168" i="4"/>
  <c r="E169" i="4"/>
  <c r="E170" i="4"/>
  <c r="E171" i="4"/>
  <c r="U19" i="6"/>
  <c r="E208" i="11"/>
  <c r="E209" i="11"/>
  <c r="E210" i="11"/>
  <c r="E211" i="11"/>
  <c r="E212" i="11"/>
  <c r="E213" i="11"/>
  <c r="E214" i="11"/>
  <c r="E215" i="11"/>
  <c r="E216" i="11"/>
  <c r="E217" i="11"/>
  <c r="E218" i="11"/>
  <c r="E219" i="11"/>
  <c r="U23" i="10"/>
  <c r="N23" i="10"/>
  <c r="O23" i="10"/>
  <c r="U20" i="6"/>
  <c r="E172" i="4"/>
  <c r="E173" i="4"/>
  <c r="E174" i="4"/>
  <c r="E175" i="4"/>
  <c r="E176" i="4"/>
  <c r="E177" i="4"/>
  <c r="E178" i="4"/>
  <c r="E179" i="4"/>
  <c r="E180" i="4"/>
  <c r="E181" i="4"/>
  <c r="E182" i="4"/>
  <c r="E183" i="4"/>
  <c r="Y21" i="6"/>
  <c r="E220" i="11"/>
  <c r="E221" i="11"/>
  <c r="E222" i="11"/>
  <c r="E223" i="11"/>
  <c r="E224" i="11"/>
  <c r="E225" i="11"/>
  <c r="E226" i="11"/>
  <c r="E227" i="11"/>
  <c r="E228" i="11"/>
  <c r="E229" i="11"/>
  <c r="E230" i="11"/>
  <c r="E231" i="11"/>
  <c r="U24" i="10"/>
  <c r="N24" i="10"/>
  <c r="O24" i="10"/>
  <c r="H35" i="6"/>
  <c r="D21" i="12"/>
  <c r="E184" i="4"/>
  <c r="E185" i="4"/>
  <c r="E186" i="4"/>
  <c r="E187" i="4"/>
  <c r="E188" i="4"/>
  <c r="E189" i="4"/>
  <c r="E190" i="4"/>
  <c r="E191" i="4"/>
  <c r="E192" i="4"/>
  <c r="E193" i="4"/>
  <c r="E194" i="4"/>
  <c r="E195" i="4"/>
  <c r="U21" i="6"/>
  <c r="E232" i="11"/>
  <c r="E233" i="11"/>
  <c r="E234" i="11"/>
  <c r="E235" i="11"/>
  <c r="E236" i="11"/>
  <c r="E237" i="11"/>
  <c r="E238" i="11"/>
  <c r="E239" i="11"/>
  <c r="E240" i="11"/>
  <c r="E241" i="11"/>
  <c r="E242" i="11"/>
  <c r="E243" i="11"/>
  <c r="U25" i="10"/>
  <c r="N25" i="10"/>
  <c r="O25" i="10"/>
  <c r="E196" i="4"/>
  <c r="E197" i="4"/>
  <c r="E198" i="4"/>
  <c r="E199" i="4"/>
  <c r="E200" i="4"/>
  <c r="E201" i="4"/>
  <c r="E202" i="4"/>
  <c r="E203" i="4"/>
  <c r="E204" i="4"/>
  <c r="E205" i="4"/>
  <c r="E206" i="4"/>
  <c r="E207" i="4"/>
  <c r="U22" i="6"/>
  <c r="D29" i="10"/>
  <c r="E244" i="11"/>
  <c r="E245" i="11"/>
  <c r="E246" i="11"/>
  <c r="E247" i="11"/>
  <c r="E248" i="11"/>
  <c r="E249" i="11"/>
  <c r="E250" i="11"/>
  <c r="E251" i="11"/>
  <c r="E252" i="11"/>
  <c r="E253" i="11"/>
  <c r="E254" i="11"/>
  <c r="E255" i="11"/>
  <c r="U26" i="10"/>
  <c r="N26" i="10"/>
  <c r="O26" i="10"/>
  <c r="D31" i="10"/>
  <c r="E208" i="4"/>
  <c r="E209" i="4"/>
  <c r="E210" i="4"/>
  <c r="E211" i="4"/>
  <c r="E212" i="4"/>
  <c r="E213" i="4"/>
  <c r="E214" i="4"/>
  <c r="E215" i="4"/>
  <c r="E216" i="4"/>
  <c r="E217" i="4"/>
  <c r="E218" i="4"/>
  <c r="E219" i="4"/>
  <c r="U23" i="6"/>
  <c r="E256" i="11"/>
  <c r="E257" i="11"/>
  <c r="E258" i="11"/>
  <c r="E259" i="11"/>
  <c r="E260" i="11"/>
  <c r="E261" i="11"/>
  <c r="E262" i="11"/>
  <c r="E263" i="11"/>
  <c r="E264" i="11"/>
  <c r="E265" i="11"/>
  <c r="E266" i="11"/>
  <c r="E267" i="11"/>
  <c r="U27" i="10"/>
  <c r="N27" i="10"/>
  <c r="O27" i="10"/>
  <c r="U24" i="6"/>
  <c r="E220" i="4"/>
  <c r="E221" i="4"/>
  <c r="E222" i="4"/>
  <c r="E223" i="4"/>
  <c r="E224" i="4"/>
  <c r="E225" i="4"/>
  <c r="E226" i="4"/>
  <c r="E227" i="4"/>
  <c r="E228" i="4"/>
  <c r="E229" i="4"/>
  <c r="E230" i="4"/>
  <c r="E231" i="4"/>
  <c r="E23" i="12"/>
  <c r="E268" i="11"/>
  <c r="E269" i="11"/>
  <c r="E270" i="11"/>
  <c r="E271" i="11"/>
  <c r="E272" i="11"/>
  <c r="E273" i="11"/>
  <c r="E274" i="11"/>
  <c r="E275" i="11"/>
  <c r="E276" i="11"/>
  <c r="E277" i="11"/>
  <c r="E278" i="11"/>
  <c r="E279" i="11"/>
  <c r="U28" i="10"/>
  <c r="N28" i="10"/>
  <c r="O28" i="10"/>
  <c r="U25" i="6"/>
  <c r="E232" i="4"/>
  <c r="E233" i="4"/>
  <c r="E234" i="4"/>
  <c r="E235" i="4"/>
  <c r="E236" i="4"/>
  <c r="E237" i="4"/>
  <c r="E238" i="4"/>
  <c r="E239" i="4"/>
  <c r="E240" i="4"/>
  <c r="E241" i="4"/>
  <c r="E242" i="4"/>
  <c r="E243" i="4"/>
  <c r="U29" i="10"/>
  <c r="E280" i="11"/>
  <c r="E281" i="11"/>
  <c r="E282" i="11"/>
  <c r="E283" i="11"/>
  <c r="E284" i="11"/>
  <c r="E285" i="11"/>
  <c r="E286" i="11"/>
  <c r="E287" i="11"/>
  <c r="E288" i="11"/>
  <c r="E289" i="11"/>
  <c r="E290" i="11"/>
  <c r="E291" i="11"/>
  <c r="N29" i="10"/>
  <c r="O29" i="10"/>
  <c r="E244" i="4"/>
  <c r="E245" i="4"/>
  <c r="E246" i="4"/>
  <c r="E247" i="4"/>
  <c r="E248" i="4"/>
  <c r="E249" i="4"/>
  <c r="E250" i="4"/>
  <c r="E251" i="4"/>
  <c r="E252" i="4"/>
  <c r="E253" i="4"/>
  <c r="E254" i="4"/>
  <c r="E255" i="4"/>
  <c r="U26" i="6"/>
  <c r="E292" i="11"/>
  <c r="E293" i="11"/>
  <c r="E294" i="11"/>
  <c r="E295" i="11"/>
  <c r="E296" i="11"/>
  <c r="E297" i="11"/>
  <c r="E298" i="11"/>
  <c r="E299" i="11"/>
  <c r="E300" i="11"/>
  <c r="E301" i="11"/>
  <c r="E302" i="11"/>
  <c r="E303" i="11"/>
  <c r="U30" i="10"/>
  <c r="N30" i="10"/>
  <c r="O30" i="10"/>
  <c r="U27" i="6"/>
  <c r="E256" i="4"/>
  <c r="E257" i="4"/>
  <c r="E258" i="4"/>
  <c r="E259" i="4"/>
  <c r="E260" i="4"/>
  <c r="E261" i="4"/>
  <c r="E262" i="4"/>
  <c r="E263" i="4"/>
  <c r="E264" i="4"/>
  <c r="E265" i="4"/>
  <c r="E266" i="4"/>
  <c r="E267" i="4"/>
  <c r="E304" i="11"/>
  <c r="E305" i="11"/>
  <c r="E306" i="11"/>
  <c r="E307" i="11"/>
  <c r="E308" i="11"/>
  <c r="E309" i="11"/>
  <c r="E310" i="11"/>
  <c r="E311" i="11"/>
  <c r="E312" i="11"/>
  <c r="E313" i="11"/>
  <c r="E314" i="11"/>
  <c r="E315" i="11"/>
  <c r="U31" i="10"/>
  <c r="N31" i="10"/>
  <c r="O31" i="10"/>
  <c r="E268" i="4"/>
  <c r="E269" i="4"/>
  <c r="E270" i="4"/>
  <c r="E271" i="4"/>
  <c r="E272" i="4"/>
  <c r="E273" i="4"/>
  <c r="E274" i="4"/>
  <c r="E275" i="4"/>
  <c r="E276" i="4"/>
  <c r="E277" i="4"/>
  <c r="E278" i="4"/>
  <c r="E279" i="4"/>
  <c r="U28" i="6"/>
  <c r="U32" i="10"/>
  <c r="E316" i="11"/>
  <c r="E317" i="11"/>
  <c r="E318" i="11"/>
  <c r="E319" i="11"/>
  <c r="E320" i="11"/>
  <c r="E321" i="11"/>
  <c r="E322" i="11"/>
  <c r="E323" i="11"/>
  <c r="E324" i="11"/>
  <c r="E325" i="11"/>
  <c r="E326" i="11"/>
  <c r="E327" i="11"/>
  <c r="N32" i="10"/>
  <c r="O32" i="10"/>
  <c r="E280" i="4"/>
  <c r="E281" i="4"/>
  <c r="E282" i="4"/>
  <c r="E283" i="4"/>
  <c r="E284" i="4"/>
  <c r="E285" i="4"/>
  <c r="E286" i="4"/>
  <c r="E287" i="4"/>
  <c r="E288" i="4"/>
  <c r="E289" i="4"/>
  <c r="E290" i="4"/>
  <c r="E291" i="4"/>
  <c r="U29" i="6"/>
  <c r="E328" i="11"/>
  <c r="E329" i="11"/>
  <c r="E330" i="11"/>
  <c r="E331" i="11"/>
  <c r="E332" i="11"/>
  <c r="E333" i="11"/>
  <c r="E334" i="11"/>
  <c r="E335" i="11"/>
  <c r="E336" i="11"/>
  <c r="E337" i="11"/>
  <c r="E338" i="11"/>
  <c r="E339" i="11"/>
  <c r="U33" i="10"/>
  <c r="N33" i="10"/>
  <c r="O33" i="10"/>
  <c r="E292" i="4"/>
  <c r="E293" i="4"/>
  <c r="E294" i="4"/>
  <c r="E295" i="4"/>
  <c r="E296" i="4"/>
  <c r="E297" i="4"/>
  <c r="E298" i="4"/>
  <c r="E299" i="4"/>
  <c r="E300" i="4"/>
  <c r="E301" i="4"/>
  <c r="E302" i="4"/>
  <c r="E303" i="4"/>
  <c r="U30" i="6"/>
  <c r="E340" i="11"/>
  <c r="E341" i="11"/>
  <c r="E342" i="11"/>
  <c r="E343" i="11"/>
  <c r="E344" i="11"/>
  <c r="E345" i="11"/>
  <c r="E346" i="11"/>
  <c r="E347" i="11"/>
  <c r="E348" i="11"/>
  <c r="E349" i="11"/>
  <c r="E350" i="11"/>
  <c r="E351" i="11"/>
  <c r="U34" i="10"/>
  <c r="N34" i="10"/>
  <c r="O34" i="10"/>
  <c r="E304" i="4"/>
  <c r="E305" i="4"/>
  <c r="E306" i="4"/>
  <c r="E307" i="4"/>
  <c r="E308" i="4"/>
  <c r="E309" i="4"/>
  <c r="E310" i="4"/>
  <c r="E311" i="4"/>
  <c r="E312" i="4"/>
  <c r="E313" i="4"/>
  <c r="E314" i="4"/>
  <c r="E315" i="4"/>
  <c r="U31" i="6"/>
  <c r="E352" i="11"/>
  <c r="E353" i="11"/>
  <c r="E354" i="11"/>
  <c r="E355" i="11"/>
  <c r="E356" i="11"/>
  <c r="E357" i="11"/>
  <c r="E358" i="11"/>
  <c r="E359" i="11"/>
  <c r="E360" i="11"/>
  <c r="E361" i="11"/>
  <c r="E362" i="11"/>
  <c r="E363" i="11"/>
  <c r="U36" i="10"/>
  <c r="U35" i="10"/>
  <c r="N36" i="10"/>
  <c r="O36" i="10"/>
  <c r="N35" i="10"/>
  <c r="O35" i="10"/>
  <c r="E316" i="4"/>
  <c r="E317" i="4"/>
  <c r="E318" i="4"/>
  <c r="E319" i="4"/>
  <c r="E320" i="4"/>
  <c r="E321" i="4"/>
  <c r="E322" i="4"/>
  <c r="E323" i="4"/>
  <c r="E324" i="4"/>
  <c r="E325" i="4"/>
  <c r="E326" i="4"/>
  <c r="E327" i="4"/>
  <c r="U32" i="6"/>
  <c r="E328" i="4"/>
  <c r="E329" i="4"/>
  <c r="E330" i="4"/>
  <c r="E331" i="4"/>
  <c r="E332" i="4"/>
  <c r="E333" i="4"/>
  <c r="E334" i="4"/>
  <c r="E335" i="4"/>
  <c r="E336" i="4"/>
  <c r="E337" i="4"/>
  <c r="E338" i="4"/>
  <c r="E339" i="4"/>
  <c r="U33" i="6"/>
  <c r="E340" i="4"/>
  <c r="E341" i="4"/>
  <c r="E342" i="4"/>
  <c r="E343" i="4"/>
  <c r="E344" i="4"/>
  <c r="E345" i="4"/>
  <c r="E346" i="4"/>
  <c r="E347" i="4"/>
  <c r="E348" i="4"/>
  <c r="E349" i="4"/>
  <c r="E350" i="4"/>
  <c r="E351" i="4"/>
  <c r="U34" i="6"/>
  <c r="E352" i="4"/>
  <c r="E353" i="4"/>
  <c r="E354" i="4"/>
  <c r="E355" i="4"/>
  <c r="E356" i="4"/>
  <c r="E357" i="4"/>
  <c r="E358" i="4"/>
  <c r="E359" i="4"/>
  <c r="E360" i="4"/>
  <c r="E361" i="4"/>
  <c r="E362" i="4"/>
  <c r="E363" i="4"/>
  <c r="U36" i="6"/>
  <c r="U35" i="6"/>
  <c r="D27" i="8"/>
  <c r="D28" i="8"/>
  <c r="H41" i="8"/>
  <c r="W21" i="8"/>
  <c r="N21" i="8"/>
  <c r="O21" i="8"/>
  <c r="W27" i="8"/>
  <c r="N27" i="8"/>
  <c r="O27" i="8"/>
  <c r="W19" i="8"/>
  <c r="N19" i="8"/>
  <c r="O19" i="8"/>
  <c r="W12" i="8"/>
  <c r="N12" i="8"/>
  <c r="O12" i="8"/>
  <c r="W8" i="8"/>
  <c r="N8" i="8"/>
  <c r="O8" i="8"/>
  <c r="W7" i="8"/>
  <c r="N7" i="8"/>
  <c r="O7" i="8"/>
  <c r="W26" i="8"/>
  <c r="N26" i="8"/>
  <c r="O26" i="8"/>
  <c r="W24" i="8"/>
  <c r="N24" i="8"/>
  <c r="O24" i="8"/>
  <c r="W31" i="8"/>
  <c r="N31" i="8"/>
  <c r="O31" i="8"/>
  <c r="D32" i="8"/>
  <c r="W23" i="8"/>
  <c r="N23" i="8"/>
  <c r="O23" i="8"/>
  <c r="W16" i="8"/>
  <c r="N16" i="8"/>
  <c r="O16" i="8"/>
  <c r="W15" i="8"/>
  <c r="N15" i="8"/>
  <c r="O15" i="8"/>
  <c r="W32" i="8"/>
  <c r="N32" i="8"/>
  <c r="O32" i="8"/>
  <c r="W18" i="8"/>
  <c r="N18" i="8"/>
  <c r="O18" i="8"/>
  <c r="W20" i="8"/>
  <c r="N20" i="8"/>
  <c r="O20" i="8"/>
  <c r="W30" i="8"/>
  <c r="N30" i="8"/>
  <c r="O30" i="8"/>
  <c r="W10" i="8"/>
  <c r="N10" i="8"/>
  <c r="O10" i="8"/>
  <c r="W14" i="8"/>
  <c r="N14" i="8"/>
  <c r="O14" i="8"/>
  <c r="W29" i="8"/>
  <c r="N29" i="8"/>
  <c r="O29" i="8"/>
  <c r="W25" i="8"/>
  <c r="N25" i="8"/>
  <c r="O25" i="8"/>
  <c r="W35" i="8"/>
  <c r="N35" i="8"/>
  <c r="O35" i="8"/>
  <c r="W13" i="8"/>
  <c r="N13" i="8"/>
  <c r="O13" i="8"/>
  <c r="W36" i="8"/>
  <c r="N36" i="8"/>
  <c r="O36" i="8"/>
  <c r="W28" i="8"/>
  <c r="N28" i="8"/>
  <c r="O28" i="8"/>
  <c r="W34" i="8"/>
  <c r="N34" i="8"/>
  <c r="O34" i="8"/>
  <c r="W22" i="8"/>
  <c r="N22" i="8"/>
  <c r="O22" i="8"/>
  <c r="W33" i="8"/>
  <c r="N33" i="8"/>
  <c r="O33" i="8"/>
  <c r="W9" i="8"/>
  <c r="N9" i="8"/>
  <c r="O9" i="8"/>
  <c r="W11" i="8"/>
  <c r="N11" i="8"/>
  <c r="O11" i="8"/>
  <c r="W17" i="8"/>
  <c r="N17" i="8"/>
  <c r="O17" i="8"/>
  <c r="C25" i="12"/>
  <c r="H40" i="8"/>
  <c r="H42" i="8"/>
  <c r="D30" i="8"/>
  <c r="D29" i="8"/>
  <c r="C24" i="12"/>
  <c r="C23" i="12"/>
  <c r="H26" i="6"/>
  <c r="H27" i="6"/>
  <c r="D27" i="6"/>
  <c r="H28" i="6"/>
  <c r="D28" i="6"/>
  <c r="D32" i="6"/>
  <c r="I26" i="6"/>
  <c r="I27" i="6"/>
  <c r="I28" i="6"/>
  <c r="H42" i="6"/>
  <c r="W23" i="6"/>
  <c r="N23" i="6"/>
  <c r="O23" i="6"/>
  <c r="X24" i="6"/>
  <c r="X15" i="6"/>
  <c r="Z15" i="6"/>
  <c r="X30" i="6"/>
  <c r="X14" i="6"/>
  <c r="Z14" i="6"/>
  <c r="X23" i="6"/>
  <c r="X36" i="6"/>
  <c r="X29" i="6"/>
  <c r="X13" i="6"/>
  <c r="Z13" i="6"/>
  <c r="X28" i="6"/>
  <c r="X21" i="6"/>
  <c r="Z21" i="6"/>
  <c r="X11" i="6"/>
  <c r="Z11" i="6"/>
  <c r="X18" i="6"/>
  <c r="Z18" i="6"/>
  <c r="X34" i="6"/>
  <c r="X20" i="6"/>
  <c r="Z20" i="6"/>
  <c r="X27" i="6"/>
  <c r="X10" i="6"/>
  <c r="Z10" i="6"/>
  <c r="X19" i="6"/>
  <c r="Z19" i="6"/>
  <c r="X33" i="6"/>
  <c r="X9" i="6"/>
  <c r="Z9" i="6"/>
  <c r="X26" i="6"/>
  <c r="X32" i="6"/>
  <c r="X17" i="6"/>
  <c r="Z17" i="6"/>
  <c r="X25" i="6"/>
  <c r="X7" i="6"/>
  <c r="Z7" i="6"/>
  <c r="X16" i="6"/>
  <c r="Z16" i="6"/>
  <c r="X31" i="6"/>
  <c r="X22" i="6"/>
  <c r="X35" i="6"/>
  <c r="X12" i="6"/>
  <c r="Z12" i="6"/>
  <c r="X8" i="6"/>
  <c r="Z8" i="6"/>
  <c r="W17" i="6"/>
  <c r="N17" i="6"/>
  <c r="O17" i="6"/>
  <c r="W31" i="6"/>
  <c r="N31" i="6"/>
  <c r="O31" i="6"/>
  <c r="W26" i="6"/>
  <c r="N26" i="6"/>
  <c r="O26" i="6"/>
  <c r="W20" i="6"/>
  <c r="N20" i="6"/>
  <c r="O20" i="6"/>
  <c r="W36" i="6"/>
  <c r="N36" i="6"/>
  <c r="O36" i="6"/>
  <c r="W35" i="6"/>
  <c r="N35" i="6"/>
  <c r="O35" i="6"/>
  <c r="W25" i="6"/>
  <c r="N25" i="6"/>
  <c r="O25" i="6"/>
  <c r="W16" i="6"/>
  <c r="N16" i="6"/>
  <c r="O16" i="6"/>
  <c r="H38" i="6"/>
  <c r="W15" i="6"/>
  <c r="N15" i="6"/>
  <c r="O15" i="6"/>
  <c r="W19" i="6"/>
  <c r="N19" i="6"/>
  <c r="O19" i="6"/>
  <c r="W7" i="6"/>
  <c r="N7" i="6"/>
  <c r="O7" i="6"/>
  <c r="W30" i="6"/>
  <c r="N30" i="6"/>
  <c r="O30" i="6"/>
  <c r="W21" i="6"/>
  <c r="N21" i="6"/>
  <c r="O21" i="6"/>
  <c r="W28" i="6"/>
  <c r="N28" i="6"/>
  <c r="O28" i="6"/>
  <c r="W18" i="6"/>
  <c r="N18" i="6"/>
  <c r="O18" i="6"/>
  <c r="W32" i="6"/>
  <c r="N32" i="6"/>
  <c r="O32" i="6"/>
  <c r="W12" i="6"/>
  <c r="N12" i="6"/>
  <c r="O12" i="6"/>
  <c r="W13" i="6"/>
  <c r="N13" i="6"/>
  <c r="O13" i="6"/>
  <c r="W22" i="6"/>
  <c r="N22" i="6"/>
  <c r="O22" i="6"/>
  <c r="W34" i="6"/>
  <c r="N34" i="6"/>
  <c r="O34" i="6"/>
  <c r="W9" i="6"/>
  <c r="N9" i="6"/>
  <c r="O9" i="6"/>
  <c r="W27" i="6"/>
  <c r="N27" i="6"/>
  <c r="O27" i="6"/>
  <c r="W33" i="6"/>
  <c r="N33" i="6"/>
  <c r="O33" i="6"/>
  <c r="W8" i="6"/>
  <c r="N8" i="6"/>
  <c r="O8" i="6"/>
  <c r="W24" i="6"/>
  <c r="N24" i="6"/>
  <c r="O24" i="6"/>
  <c r="W10" i="6"/>
  <c r="N10" i="6"/>
  <c r="O10" i="6"/>
  <c r="W29" i="6"/>
  <c r="N29" i="6"/>
  <c r="O29" i="6"/>
  <c r="W11" i="6"/>
  <c r="N11" i="6"/>
  <c r="O11" i="6"/>
  <c r="W14" i="6"/>
  <c r="N14" i="6"/>
  <c r="O14" i="6"/>
  <c r="H39" i="6"/>
  <c r="D29" i="6"/>
  <c r="D20" i="12"/>
  <c r="H41" i="6"/>
  <c r="D26" i="12"/>
  <c r="D27" i="12"/>
  <c r="H44" i="6"/>
  <c r="D29" i="12"/>
  <c r="D23" i="12"/>
  <c r="H43" i="6"/>
  <c r="D24" i="12"/>
  <c r="D31" i="6"/>
  <c r="D30" i="6"/>
</calcChain>
</file>

<file path=xl/sharedStrings.xml><?xml version="1.0" encoding="utf-8"?>
<sst xmlns="http://schemas.openxmlformats.org/spreadsheetml/2006/main" count="304" uniqueCount="140">
  <si>
    <t>Financial Estimate Summary - Montgomery Village - **Denman Floor Plan**</t>
  </si>
  <si>
    <t>Key Assumptions</t>
  </si>
  <si>
    <t>Item</t>
  </si>
  <si>
    <t>All Cash</t>
  </si>
  <si>
    <t>With Loan</t>
  </si>
  <si>
    <t>Owner Occupier</t>
  </si>
  <si>
    <t>List Price</t>
  </si>
  <si>
    <t>Percent Down for Loan</t>
  </si>
  <si>
    <t>Interest Rate on Loan</t>
  </si>
  <si>
    <t>Rent Per Side</t>
  </si>
  <si>
    <t>Annual Appreciation</t>
  </si>
  <si>
    <t>Investment Period (Years)</t>
  </si>
  <si>
    <t xml:space="preserve">Additional assumptions and all forumulas can be found in the other tabs in this spreadsheet. </t>
  </si>
  <si>
    <t>Summary</t>
  </si>
  <si>
    <t>w/Loan</t>
  </si>
  <si>
    <t>Annual Gross Rents</t>
  </si>
  <si>
    <t>Capital Needed for Purchase</t>
  </si>
  <si>
    <t>Accumulated Cash Flow</t>
  </si>
  <si>
    <t>Principal Pay Down</t>
  </si>
  <si>
    <t>Appreciation After X Years</t>
  </si>
  <si>
    <t>Total Estimated Profit</t>
  </si>
  <si>
    <t>Total Annual Return (ROI)</t>
  </si>
  <si>
    <t>Cap Rate</t>
  </si>
  <si>
    <t>Cash on Cash Return</t>
  </si>
  <si>
    <t>Cash on Cash + Appreciation</t>
  </si>
  <si>
    <t>Owner Occupier Monthly Cost</t>
  </si>
  <si>
    <t>Internal Rate of Return (IRR)</t>
  </si>
  <si>
    <t>Rent to Puchase Price Ratio Comparison</t>
  </si>
  <si>
    <t>Purchase Price</t>
  </si>
  <si>
    <t>Monthly Rent</t>
  </si>
  <si>
    <t>Total Monthly Rent</t>
  </si>
  <si>
    <t>Rent to Purchase Price Ratio</t>
  </si>
  <si>
    <t>A simple way to compare properties is to look at how much rent you are "buying" for each dollar you are spending. The higher the ratio, the better.</t>
  </si>
  <si>
    <t>Contact us for Details: 210-444-2040 or sales@rosehaven.us</t>
  </si>
  <si>
    <t>Premium Duplexes at Montgomery Village Proforma</t>
  </si>
  <si>
    <t>Years</t>
  </si>
  <si>
    <t>Total Projected Profit</t>
  </si>
  <si>
    <t>Return on Investment</t>
  </si>
  <si>
    <t>Investment Capital Needed</t>
  </si>
  <si>
    <t>Loan Amount</t>
  </si>
  <si>
    <t>Appreciation</t>
  </si>
  <si>
    <t>Principal Paydown</t>
  </si>
  <si>
    <t>Selling Expenses</t>
  </si>
  <si>
    <t>Cash Flow</t>
  </si>
  <si>
    <t>Net Proceeds</t>
  </si>
  <si>
    <t>Adj IRR Cash Flows</t>
  </si>
  <si>
    <t>Monthly</t>
  </si>
  <si>
    <t>Annual</t>
  </si>
  <si>
    <t>Rent per Side</t>
  </si>
  <si>
    <t>Gross Rents</t>
  </si>
  <si>
    <t>Total Operating Expenses</t>
  </si>
  <si>
    <t>Monthly Cash-on-Cash Return</t>
  </si>
  <si>
    <t>Est. Cash Flow</t>
  </si>
  <si>
    <t>Monthly Cash-on-Cash Return (Less Vacancy &amp; Maint Exp)</t>
  </si>
  <si>
    <t>Est. Cash Flow (Less Vacancy &amp; Maint Exp)</t>
  </si>
  <si>
    <t>Annual Return on Investment</t>
  </si>
  <si>
    <t>Annual Cap Rate</t>
  </si>
  <si>
    <t>Years Held</t>
  </si>
  <si>
    <t>Investment</t>
  </si>
  <si>
    <t>Down Payment</t>
  </si>
  <si>
    <t>Est. Selling Expenses %</t>
  </si>
  <si>
    <t>(Does not account for rising rents)</t>
  </si>
  <si>
    <t>Closing Costs</t>
  </si>
  <si>
    <t>Initial Upgrade Costs</t>
  </si>
  <si>
    <t>Operating Expenses</t>
  </si>
  <si>
    <t>Property Taxes</t>
  </si>
  <si>
    <t>Cash-on-Cash Return (Total Exp)</t>
  </si>
  <si>
    <t>Insurance</t>
  </si>
  <si>
    <t>Cash-on-Cash Return (Less Vacancy &amp; Maint Exp)</t>
  </si>
  <si>
    <t>HOA Fees</t>
  </si>
  <si>
    <t>Management Fees</t>
  </si>
  <si>
    <t>Leasing Fee</t>
  </si>
  <si>
    <t>Estimated Vacancy Amount</t>
  </si>
  <si>
    <t>Estimated Maintenance Amount</t>
  </si>
  <si>
    <t>Tax Benefits</t>
  </si>
  <si>
    <t>Annual Depreciation Benefit</t>
  </si>
  <si>
    <t>Disclaimer</t>
  </si>
  <si>
    <t xml:space="preserve">Proforma returns are based on assumptions. Actual returns will vary. Rosehaven Homes, LLC and Magnolia Village at Cinco Lakes, LLC 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Rosehaven Homes, LLC hereby disclaims any liability for the accuracy, completeness, or correctness of any information or assumptions provided. </t>
  </si>
  <si>
    <t>Est. Cash Flow (Total expenses)</t>
  </si>
  <si>
    <t>Monthly Cash Flow (Less Vacancy &amp; Maint. Exp)</t>
  </si>
  <si>
    <t>Debt Service</t>
  </si>
  <si>
    <t>Interest Rate</t>
  </si>
  <si>
    <t>Amortization (years)</t>
  </si>
  <si>
    <t>Mortgage Payment (P&amp;I)</t>
  </si>
  <si>
    <t>Total Mortgage Payment (P&amp;I)</t>
  </si>
  <si>
    <t>Home Insurance</t>
  </si>
  <si>
    <t>PITI</t>
  </si>
  <si>
    <t>Cash Reserves</t>
  </si>
  <si>
    <t>Number of Months</t>
  </si>
  <si>
    <t>Leasing Fee (Amortized Over 18 Months)</t>
  </si>
  <si>
    <t>Estimated Maintenance</t>
  </si>
  <si>
    <t>Accumulated Expenses After Income</t>
  </si>
  <si>
    <t>Cash Required to Close</t>
  </si>
  <si>
    <t>Expenses After Rental Income</t>
  </si>
  <si>
    <t>Monthly Expenses After Rental Income</t>
  </si>
  <si>
    <t>Expenses After Rental Income (Less Vacancy &amp; Maint. Exp)</t>
  </si>
  <si>
    <t>Monthly Expenses After Rental Income (Less Vacancy &amp; Maint. Exp)</t>
  </si>
  <si>
    <t>Total Principal Paydown by Renter</t>
  </si>
  <si>
    <t>Total Appreciation</t>
  </si>
  <si>
    <t>Projected Annual Appreciation %</t>
  </si>
  <si>
    <t>Closing Costs &amp; Prepaids</t>
  </si>
  <si>
    <t>PMI</t>
  </si>
  <si>
    <t>Leasing Fee (Amortized over 18 Months)</t>
  </si>
  <si>
    <t>Estimated Closing Costs</t>
  </si>
  <si>
    <t>Admin Fee</t>
  </si>
  <si>
    <t>Processing Fee</t>
  </si>
  <si>
    <t>Tax Service Fee</t>
  </si>
  <si>
    <t>Total Lender Fees</t>
  </si>
  <si>
    <t>Attorney Doc Prep Fee</t>
  </si>
  <si>
    <t>Credit Report Fee</t>
  </si>
  <si>
    <t>Recording Fee</t>
  </si>
  <si>
    <t>Title Escrow and Misc Fees</t>
  </si>
  <si>
    <t>Owner's Title Policy (OTP)</t>
  </si>
  <si>
    <t>Survey Fee</t>
  </si>
  <si>
    <t>HOA Transfer Fees</t>
  </si>
  <si>
    <t>Total Lender/Title Closing Costs</t>
  </si>
  <si>
    <t>Per Diem Interest (15 Days)</t>
  </si>
  <si>
    <t>Annual Home Insurance Premium</t>
  </si>
  <si>
    <t>Buyer's contribution toward Escrow Setup</t>
  </si>
  <si>
    <t>Total Other Loan Costs</t>
  </si>
  <si>
    <t>Calculated Total Closing Costs</t>
  </si>
  <si>
    <t>Manually Enter Closing Costs?</t>
  </si>
  <si>
    <t>No</t>
  </si>
  <si>
    <t>Manual Closing Costs</t>
  </si>
  <si>
    <t>Total Closing Costs</t>
  </si>
  <si>
    <t>Mortgage Amortization Schedule</t>
  </si>
  <si>
    <t>Month</t>
  </si>
  <si>
    <t>Principal Payment</t>
  </si>
  <si>
    <t>Interest Payment</t>
  </si>
  <si>
    <t>P&amp;I Payment</t>
  </si>
  <si>
    <t>Balance</t>
  </si>
  <si>
    <t>Rental Contribution</t>
  </si>
  <si>
    <t>Accumulated Principle Paydown</t>
  </si>
  <si>
    <t>Down Payment %</t>
  </si>
  <si>
    <t>Vacancy Rate</t>
  </si>
  <si>
    <t xml:space="preserve">Estimated Maintenance </t>
  </si>
  <si>
    <t>Management Fee</t>
  </si>
  <si>
    <t>Yes</t>
  </si>
  <si>
    <t>Montgomery</t>
  </si>
  <si>
    <t>Other Builder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</si>
</sst>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00%"/>
    <numFmt numFmtId="168" formatCode="&quot;$&quot;#,##0"/>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0"/>
      <name val="Aptos Narrow"/>
      <family val="2"/>
      <scheme val="minor"/>
    </font>
    <font>
      <b/>
      <sz val="14"/>
      <color theme="0"/>
      <name val="Cambria"/>
      <family val="1"/>
    </font>
    <font>
      <sz val="11"/>
      <color theme="1"/>
      <name val="Cambria"/>
      <family val="1"/>
    </font>
    <font>
      <b/>
      <sz val="11"/>
      <color theme="1"/>
      <name val="Cambria"/>
      <family val="1"/>
    </font>
    <font>
      <b/>
      <sz val="11"/>
      <color theme="0"/>
      <name val="Cambria"/>
      <family val="1"/>
    </font>
    <font>
      <b/>
      <sz val="11"/>
      <name val="Cambria"/>
      <family val="1"/>
    </font>
    <font>
      <i/>
      <sz val="11"/>
      <color theme="1"/>
      <name val="Aptos Narrow"/>
      <family val="2"/>
      <scheme val="minor"/>
    </font>
    <font>
      <b/>
      <i/>
      <sz val="11"/>
      <color theme="1"/>
      <name val="Cambria"/>
      <family val="1"/>
    </font>
    <font>
      <i/>
      <sz val="11"/>
      <color theme="1"/>
      <name val="Cambria"/>
      <family val="1"/>
    </font>
    <font>
      <b/>
      <sz val="12"/>
      <name val="Arial Narrow"/>
      <family val="2"/>
    </font>
    <font>
      <sz val="12"/>
      <name val="Arial Narrow"/>
      <family val="2"/>
    </font>
    <font>
      <sz val="10"/>
      <name val="Helvetica"/>
    </font>
    <font>
      <b/>
      <sz val="12"/>
      <name val="Cambria"/>
      <family val="1"/>
    </font>
    <font>
      <u/>
      <sz val="11"/>
      <color theme="10"/>
      <name val="Aptos Narrow"/>
      <family val="2"/>
      <scheme val="minor"/>
    </font>
    <font>
      <b/>
      <sz val="11"/>
      <color theme="0"/>
      <name val="Aptos Narrow"/>
      <family val="2"/>
      <scheme val="minor"/>
    </font>
    <font>
      <sz val="11"/>
      <color theme="0"/>
      <name val="Cambria"/>
      <family val="1"/>
    </font>
    <font>
      <b/>
      <sz val="18"/>
      <color theme="4" tint="-0.499984740745262"/>
      <name val="Cambria"/>
      <family val="1"/>
    </font>
    <font>
      <b/>
      <sz val="10"/>
      <color theme="0"/>
      <name val="Cambria"/>
      <family val="1"/>
    </font>
    <font>
      <b/>
      <sz val="10"/>
      <color theme="1"/>
      <name val="Cambria"/>
      <family val="1"/>
    </font>
    <font>
      <sz val="10"/>
      <color theme="1"/>
      <name val="Cambria"/>
      <family val="1"/>
    </font>
    <font>
      <i/>
      <sz val="10"/>
      <color theme="1"/>
      <name val="Cambria"/>
      <family val="1"/>
    </font>
    <font>
      <sz val="10"/>
      <color theme="1"/>
      <name val="Aptos Narrow"/>
      <family val="2"/>
      <scheme val="minor"/>
    </font>
    <font>
      <i/>
      <sz val="9"/>
      <color theme="1"/>
      <name val="Cambria"/>
      <family val="1"/>
    </font>
  </fonts>
  <fills count="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115">
    <xf numFmtId="0" fontId="0" fillId="0" borderId="0" xfId="0"/>
    <xf numFmtId="0" fontId="2" fillId="0" borderId="0" xfId="0" applyFont="1"/>
    <xf numFmtId="9" fontId="0" fillId="0" borderId="0" xfId="3" applyFont="1"/>
    <xf numFmtId="44" fontId="0" fillId="0" borderId="0" xfId="0" applyNumberFormat="1"/>
    <xf numFmtId="8" fontId="0" fillId="0" borderId="0" xfId="0" applyNumberFormat="1"/>
    <xf numFmtId="0" fontId="0" fillId="2" borderId="0" xfId="0" applyFill="1"/>
    <xf numFmtId="166" fontId="0" fillId="0" borderId="0" xfId="3" applyNumberFormat="1" applyFont="1"/>
    <xf numFmtId="0" fontId="4" fillId="2" borderId="0" xfId="0" applyFont="1" applyFill="1"/>
    <xf numFmtId="0" fontId="5" fillId="0" borderId="0" xfId="0" applyFont="1"/>
    <xf numFmtId="0" fontId="9" fillId="0" borderId="0" xfId="0" applyFont="1"/>
    <xf numFmtId="0" fontId="0" fillId="4" borderId="0" xfId="0" applyFill="1"/>
    <xf numFmtId="0" fontId="13" fillId="4" borderId="0" xfId="0" applyFont="1" applyFill="1"/>
    <xf numFmtId="0" fontId="12" fillId="4" borderId="0" xfId="0" applyFont="1" applyFill="1"/>
    <xf numFmtId="0" fontId="14" fillId="4" borderId="0" xfId="0" applyFont="1" applyFill="1"/>
    <xf numFmtId="0" fontId="15" fillId="0" borderId="0" xfId="0" applyFont="1"/>
    <xf numFmtId="0" fontId="16" fillId="0" borderId="0" xfId="4"/>
    <xf numFmtId="0" fontId="9" fillId="4" borderId="0" xfId="0" applyFont="1" applyFill="1"/>
    <xf numFmtId="0" fontId="5" fillId="4" borderId="0" xfId="0" applyFont="1" applyFill="1"/>
    <xf numFmtId="0" fontId="6" fillId="4" borderId="0" xfId="0" applyFont="1" applyFill="1"/>
    <xf numFmtId="0" fontId="2" fillId="4" borderId="0" xfId="0" applyFont="1" applyFill="1"/>
    <xf numFmtId="164" fontId="6" fillId="4" borderId="0" xfId="0" applyNumberFormat="1" applyFont="1" applyFill="1"/>
    <xf numFmtId="164" fontId="5" fillId="4" borderId="0" xfId="0" applyNumberFormat="1" applyFont="1" applyFill="1"/>
    <xf numFmtId="164" fontId="5" fillId="3" borderId="1" xfId="0" applyNumberFormat="1" applyFont="1" applyFill="1" applyBorder="1" applyAlignment="1">
      <alignment horizontal="center"/>
    </xf>
    <xf numFmtId="164" fontId="6" fillId="5" borderId="1" xfId="2" applyNumberFormat="1" applyFont="1" applyFill="1" applyBorder="1"/>
    <xf numFmtId="0" fontId="15" fillId="4" borderId="0" xfId="0" applyFont="1" applyFill="1"/>
    <xf numFmtId="168" fontId="15" fillId="4" borderId="0" xfId="0" applyNumberFormat="1" applyFont="1" applyFill="1"/>
    <xf numFmtId="168" fontId="6" fillId="4" borderId="0" xfId="0" applyNumberFormat="1" applyFont="1" applyFill="1"/>
    <xf numFmtId="164" fontId="6" fillId="4" borderId="0" xfId="2" applyNumberFormat="1" applyFont="1" applyFill="1"/>
    <xf numFmtId="0" fontId="6" fillId="3" borderId="0" xfId="0" applyFont="1" applyFill="1"/>
    <xf numFmtId="0" fontId="4" fillId="4" borderId="0" xfId="0" applyFont="1" applyFill="1" applyAlignment="1">
      <alignment horizontal="center"/>
    </xf>
    <xf numFmtId="0" fontId="0" fillId="0" borderId="0" xfId="0" applyProtection="1">
      <protection hidden="1"/>
    </xf>
    <xf numFmtId="0" fontId="17" fillId="2" borderId="0" xfId="0" applyFont="1" applyFill="1" applyProtection="1">
      <protection hidden="1"/>
    </xf>
    <xf numFmtId="0" fontId="17" fillId="2" borderId="0" xfId="0" applyFont="1" applyFill="1" applyAlignment="1" applyProtection="1">
      <alignment horizontal="center"/>
      <protection hidden="1"/>
    </xf>
    <xf numFmtId="44" fontId="17" fillId="2" borderId="0" xfId="0" applyNumberFormat="1" applyFont="1" applyFill="1" applyProtection="1">
      <protection hidden="1"/>
    </xf>
    <xf numFmtId="164" fontId="0" fillId="0" borderId="0" xfId="0" applyNumberFormat="1" applyProtection="1">
      <protection hidden="1"/>
    </xf>
    <xf numFmtId="10" fontId="0" fillId="0" borderId="0" xfId="3" applyNumberFormat="1" applyFont="1" applyProtection="1">
      <protection hidden="1"/>
    </xf>
    <xf numFmtId="44" fontId="0" fillId="0" borderId="0" xfId="0" applyNumberFormat="1" applyProtection="1">
      <protection hidden="1"/>
    </xf>
    <xf numFmtId="10" fontId="0" fillId="0" borderId="0" xfId="0" applyNumberFormat="1" applyProtection="1">
      <protection hidden="1"/>
    </xf>
    <xf numFmtId="165" fontId="0" fillId="0" borderId="0" xfId="1" applyNumberFormat="1" applyFont="1" applyProtection="1">
      <protection hidden="1"/>
    </xf>
    <xf numFmtId="43" fontId="0" fillId="0" borderId="0" xfId="0" applyNumberFormat="1" applyProtection="1">
      <protection hidden="1"/>
    </xf>
    <xf numFmtId="0" fontId="2" fillId="0" borderId="0" xfId="0" applyFont="1" applyProtection="1">
      <protection hidden="1"/>
    </xf>
    <xf numFmtId="43" fontId="2" fillId="0" borderId="0" xfId="0" applyNumberFormat="1" applyFont="1" applyProtection="1">
      <protection hidden="1"/>
    </xf>
    <xf numFmtId="0" fontId="0" fillId="4" borderId="0" xfId="0" applyFill="1" applyProtection="1">
      <protection hidden="1"/>
    </xf>
    <xf numFmtId="0" fontId="0" fillId="4" borderId="0" xfId="0" applyFill="1" applyProtection="1">
      <protection locked="0"/>
    </xf>
    <xf numFmtId="0" fontId="5" fillId="4" borderId="0" xfId="0" applyFont="1" applyFill="1" applyProtection="1">
      <protection locked="0"/>
    </xf>
    <xf numFmtId="0" fontId="9" fillId="4"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7" fillId="2" borderId="0" xfId="0" applyFont="1" applyFill="1" applyAlignment="1" applyProtection="1">
      <alignment horizontal="center"/>
      <protection locked="0"/>
    </xf>
    <xf numFmtId="0" fontId="18" fillId="4" borderId="0" xfId="0" applyFont="1" applyFill="1" applyAlignment="1" applyProtection="1">
      <alignment horizontal="center"/>
      <protection locked="0"/>
    </xf>
    <xf numFmtId="164" fontId="5" fillId="4" borderId="0" xfId="2" applyNumberFormat="1" applyFont="1" applyFill="1" applyBorder="1" applyProtection="1">
      <protection locked="0"/>
    </xf>
    <xf numFmtId="9" fontId="5" fillId="4" borderId="0" xfId="3" applyFont="1" applyFill="1" applyBorder="1" applyProtection="1">
      <protection locked="0"/>
    </xf>
    <xf numFmtId="164" fontId="5" fillId="4" borderId="0" xfId="0" applyNumberFormat="1" applyFont="1" applyFill="1" applyProtection="1">
      <protection locked="0"/>
    </xf>
    <xf numFmtId="164" fontId="11" fillId="4" borderId="0" xfId="2" applyNumberFormat="1" applyFont="1" applyFill="1" applyBorder="1" applyProtection="1">
      <protection locked="0"/>
    </xf>
    <xf numFmtId="44" fontId="11" fillId="4" borderId="0" xfId="2" applyFont="1" applyFill="1" applyBorder="1" applyProtection="1">
      <protection locked="0"/>
    </xf>
    <xf numFmtId="165" fontId="5" fillId="4" borderId="0" xfId="1" applyNumberFormat="1" applyFont="1" applyFill="1" applyBorder="1" applyProtection="1">
      <protection locked="0"/>
    </xf>
    <xf numFmtId="0" fontId="6" fillId="4" borderId="0" xfId="0" applyFont="1" applyFill="1" applyProtection="1">
      <protection locked="0"/>
    </xf>
    <xf numFmtId="10" fontId="8" fillId="4" borderId="0" xfId="0" applyNumberFormat="1" applyFont="1" applyFill="1" applyAlignment="1" applyProtection="1">
      <alignment horizontal="right"/>
      <protection locked="0"/>
    </xf>
    <xf numFmtId="164" fontId="6" fillId="4" borderId="0" xfId="0" applyNumberFormat="1" applyFont="1" applyFill="1" applyProtection="1">
      <protection locked="0"/>
    </xf>
    <xf numFmtId="164" fontId="10" fillId="4" borderId="0" xfId="0" applyNumberFormat="1" applyFont="1" applyFill="1" applyProtection="1">
      <protection locked="0"/>
    </xf>
    <xf numFmtId="0" fontId="9" fillId="0" borderId="0" xfId="0" applyFont="1" applyProtection="1">
      <protection locked="0"/>
    </xf>
    <xf numFmtId="164" fontId="6" fillId="4" borderId="0" xfId="2" applyNumberFormat="1" applyFont="1" applyFill="1" applyBorder="1" applyProtection="1">
      <protection locked="0"/>
    </xf>
    <xf numFmtId="10" fontId="5" fillId="4" borderId="0" xfId="3" applyNumberFormat="1" applyFont="1" applyFill="1" applyBorder="1" applyProtection="1">
      <protection locked="0"/>
    </xf>
    <xf numFmtId="167" fontId="5" fillId="4" borderId="0" xfId="3" applyNumberFormat="1" applyFont="1" applyFill="1" applyBorder="1" applyProtection="1">
      <protection locked="0"/>
    </xf>
    <xf numFmtId="165" fontId="6" fillId="4" borderId="0" xfId="1" applyNumberFormat="1" applyFont="1" applyFill="1" applyAlignment="1" applyProtection="1">
      <alignment horizontal="right" indent="2"/>
      <protection locked="0"/>
    </xf>
    <xf numFmtId="10" fontId="6" fillId="4" borderId="0" xfId="3" applyNumberFormat="1" applyFont="1" applyFill="1" applyBorder="1" applyProtection="1">
      <protection locked="0"/>
    </xf>
    <xf numFmtId="44" fontId="6" fillId="4" borderId="0" xfId="0" applyNumberFormat="1" applyFont="1" applyFill="1" applyProtection="1">
      <protection locked="0"/>
    </xf>
    <xf numFmtId="1" fontId="5" fillId="4" borderId="0" xfId="1" applyNumberFormat="1" applyFont="1" applyFill="1" applyBorder="1" applyAlignment="1" applyProtection="1">
      <alignment horizontal="center" vertical="center"/>
      <protection locked="0"/>
    </xf>
    <xf numFmtId="8" fontId="6" fillId="4" borderId="0" xfId="0" applyNumberFormat="1" applyFont="1" applyFill="1" applyProtection="1">
      <protection locked="0"/>
    </xf>
    <xf numFmtId="0" fontId="4" fillId="4" borderId="0" xfId="0" applyFont="1" applyFill="1"/>
    <xf numFmtId="164" fontId="0" fillId="0" borderId="0" xfId="0" applyNumberFormat="1"/>
    <xf numFmtId="44" fontId="9" fillId="4" borderId="0" xfId="0" applyNumberFormat="1" applyFont="1" applyFill="1" applyProtection="1">
      <protection locked="0"/>
    </xf>
    <xf numFmtId="164" fontId="5" fillId="0" borderId="0" xfId="0" applyNumberFormat="1" applyFont="1"/>
    <xf numFmtId="164" fontId="8" fillId="4" borderId="0" xfId="0" applyNumberFormat="1" applyFont="1" applyFill="1" applyAlignment="1" applyProtection="1">
      <alignment horizontal="right"/>
      <protection locked="0"/>
    </xf>
    <xf numFmtId="164" fontId="9" fillId="0" borderId="0" xfId="0" applyNumberFormat="1" applyFont="1"/>
    <xf numFmtId="0" fontId="4" fillId="4" borderId="0" xfId="0" applyFont="1" applyFill="1" applyProtection="1">
      <protection locked="0"/>
    </xf>
    <xf numFmtId="0" fontId="7" fillId="4" borderId="0" xfId="0" applyFont="1" applyFill="1" applyAlignment="1" applyProtection="1">
      <alignment horizontal="center"/>
      <protection locked="0"/>
    </xf>
    <xf numFmtId="164" fontId="6" fillId="0" borderId="0" xfId="0" applyNumberFormat="1" applyFont="1"/>
    <xf numFmtId="0" fontId="20" fillId="2" borderId="0" xfId="0" applyFont="1" applyFill="1" applyProtection="1">
      <protection locked="0"/>
    </xf>
    <xf numFmtId="1" fontId="5" fillId="4" borderId="0" xfId="0" applyNumberFormat="1" applyFont="1" applyFill="1" applyProtection="1">
      <protection locked="0"/>
    </xf>
    <xf numFmtId="43" fontId="0" fillId="0" borderId="0" xfId="1" applyFont="1" applyProtection="1">
      <protection hidden="1"/>
    </xf>
    <xf numFmtId="9" fontId="5" fillId="6" borderId="0" xfId="3" applyFont="1" applyFill="1" applyBorder="1" applyProtection="1">
      <protection locked="0"/>
    </xf>
    <xf numFmtId="10" fontId="5" fillId="6" borderId="0" xfId="3" applyNumberFormat="1" applyFont="1" applyFill="1" applyBorder="1" applyProtection="1">
      <protection locked="0"/>
    </xf>
    <xf numFmtId="164" fontId="10" fillId="4" borderId="0" xfId="2" applyNumberFormat="1" applyFont="1" applyFill="1" applyBorder="1" applyProtection="1">
      <protection locked="0"/>
    </xf>
    <xf numFmtId="166" fontId="5" fillId="6" borderId="0" xfId="3" applyNumberFormat="1" applyFont="1" applyFill="1" applyBorder="1" applyProtection="1">
      <protection locked="0"/>
    </xf>
    <xf numFmtId="43" fontId="0" fillId="0" borderId="0" xfId="0" applyNumberFormat="1"/>
    <xf numFmtId="43" fontId="0" fillId="0" borderId="0" xfId="1" applyFont="1"/>
    <xf numFmtId="44" fontId="5" fillId="4" borderId="0" xfId="0" applyNumberFormat="1" applyFont="1" applyFill="1"/>
    <xf numFmtId="10" fontId="6" fillId="4" borderId="0" xfId="3" applyNumberFormat="1" applyFont="1" applyFill="1" applyProtection="1">
      <protection locked="0"/>
    </xf>
    <xf numFmtId="10" fontId="6" fillId="4" borderId="0" xfId="0" applyNumberFormat="1" applyFont="1" applyFill="1"/>
    <xf numFmtId="0" fontId="21" fillId="4" borderId="0" xfId="0" applyFont="1" applyFill="1"/>
    <xf numFmtId="0" fontId="22" fillId="4" borderId="0" xfId="0" applyFont="1" applyFill="1"/>
    <xf numFmtId="164" fontId="22" fillId="4" borderId="0" xfId="0" applyNumberFormat="1" applyFont="1" applyFill="1" applyProtection="1">
      <protection locked="0"/>
    </xf>
    <xf numFmtId="0" fontId="22" fillId="4" borderId="0" xfId="0" applyFont="1" applyFill="1" applyProtection="1">
      <protection locked="0"/>
    </xf>
    <xf numFmtId="10" fontId="22" fillId="4" borderId="0" xfId="3" applyNumberFormat="1" applyFont="1" applyFill="1" applyBorder="1" applyProtection="1">
      <protection locked="0"/>
    </xf>
    <xf numFmtId="10" fontId="22" fillId="4" borderId="0" xfId="0" applyNumberFormat="1" applyFont="1" applyFill="1"/>
    <xf numFmtId="0" fontId="22" fillId="4" borderId="2" xfId="0" applyFont="1" applyFill="1" applyBorder="1" applyProtection="1">
      <protection locked="0"/>
    </xf>
    <xf numFmtId="1" fontId="22" fillId="4" borderId="2" xfId="0" applyNumberFormat="1" applyFont="1" applyFill="1" applyBorder="1" applyProtection="1">
      <protection locked="0"/>
    </xf>
    <xf numFmtId="0" fontId="22" fillId="4" borderId="2" xfId="0" applyFont="1" applyFill="1" applyBorder="1"/>
    <xf numFmtId="164" fontId="22" fillId="4" borderId="2" xfId="0" applyNumberFormat="1" applyFont="1" applyFill="1" applyBorder="1" applyProtection="1">
      <protection locked="0"/>
    </xf>
    <xf numFmtId="0" fontId="21" fillId="4" borderId="2" xfId="0" applyFont="1" applyFill="1" applyBorder="1"/>
    <xf numFmtId="10" fontId="21" fillId="4" borderId="2" xfId="3" applyNumberFormat="1" applyFont="1" applyFill="1" applyBorder="1" applyProtection="1">
      <protection locked="0"/>
    </xf>
    <xf numFmtId="0" fontId="24" fillId="4" borderId="0" xfId="0" applyFont="1" applyFill="1"/>
    <xf numFmtId="0" fontId="24" fillId="4" borderId="0" xfId="0" applyFont="1" applyFill="1" applyAlignment="1">
      <alignment horizontal="right"/>
    </xf>
    <xf numFmtId="10" fontId="21" fillId="4" borderId="0" xfId="3" applyNumberFormat="1" applyFont="1" applyFill="1" applyBorder="1" applyProtection="1">
      <protection locked="0"/>
    </xf>
    <xf numFmtId="164" fontId="21" fillId="4" borderId="0" xfId="0" applyNumberFormat="1" applyFont="1" applyFill="1" applyProtection="1">
      <protection locked="0"/>
    </xf>
    <xf numFmtId="0" fontId="23" fillId="4" borderId="0" xfId="0" applyFont="1" applyFill="1" applyAlignment="1" applyProtection="1">
      <alignment horizontal="center"/>
      <protection locked="0"/>
    </xf>
    <xf numFmtId="0" fontId="25" fillId="4" borderId="3" xfId="0" applyFont="1" applyFill="1" applyBorder="1" applyAlignment="1">
      <alignment horizontal="center" vertical="top" wrapText="1"/>
    </xf>
    <xf numFmtId="0" fontId="25" fillId="4" borderId="0" xfId="0" applyFont="1" applyFill="1" applyAlignment="1">
      <alignment horizontal="center" vertical="top" wrapText="1"/>
    </xf>
    <xf numFmtId="0" fontId="20" fillId="2" borderId="0" xfId="0" applyFont="1" applyFill="1" applyAlignment="1" applyProtection="1">
      <alignment horizontal="center"/>
      <protection locked="0"/>
    </xf>
    <xf numFmtId="0" fontId="4" fillId="2" borderId="0" xfId="0" applyFont="1" applyFill="1" applyAlignment="1">
      <alignment horizontal="center"/>
    </xf>
    <xf numFmtId="0" fontId="11" fillId="4" borderId="0" xfId="0" applyFont="1" applyFill="1" applyAlignment="1">
      <alignment horizontal="left" vertical="top" wrapText="1"/>
    </xf>
    <xf numFmtId="0" fontId="0" fillId="4" borderId="0" xfId="0" applyFill="1" applyAlignment="1">
      <alignment horizontal="center"/>
    </xf>
    <xf numFmtId="0" fontId="19" fillId="4" borderId="0" xfId="0" applyFont="1" applyFill="1" applyAlignment="1">
      <alignment horizontal="center"/>
    </xf>
    <xf numFmtId="0" fontId="3" fillId="2" borderId="0" xfId="0" applyFont="1" applyFill="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'All Cash'!$O$5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'All Cash'!$O$7:$O$36</c:f>
              <c:numCache>
                <c:formatCode>0.00%</c:formatCode>
                <c:ptCount val="30"/>
                <c:pt idx="0">
                  <c:v>1.1840336455755756E-2</c:v>
                </c:pt>
                <c:pt idx="1">
                  <c:v>4.7061915261113932E-2</c:v>
                </c:pt>
                <c:pt idx="2">
                  <c:v>5.919163689951034E-2</c:v>
                </c:pt>
                <c:pt idx="3">
                  <c:v>6.555861062462727E-2</c:v>
                </c:pt>
                <c:pt idx="4">
                  <c:v>6.9628944345798166E-2</c:v>
                </c:pt>
                <c:pt idx="5">
                  <c:v>7.2558254091673963E-2</c:v>
                </c:pt>
                <c:pt idx="6">
                  <c:v>7.4842022755334012E-2</c:v>
                </c:pt>
                <c:pt idx="7">
                  <c:v>7.6728190007242736E-2</c:v>
                </c:pt>
                <c:pt idx="8">
                  <c:v>7.8354682474780113E-2</c:v>
                </c:pt>
                <c:pt idx="9">
                  <c:v>7.9804426008313264E-2</c:v>
                </c:pt>
                <c:pt idx="10">
                  <c:v>8.1130351439463871E-2</c:v>
                </c:pt>
                <c:pt idx="11">
                  <c:v>8.2367897633655054E-2</c:v>
                </c:pt>
                <c:pt idx="12">
                  <c:v>8.3541744068697271E-2</c:v>
                </c:pt>
                <c:pt idx="13">
                  <c:v>8.4669658181778254E-2</c:v>
                </c:pt>
                <c:pt idx="14">
                  <c:v>8.576480393146961E-2</c:v>
                </c:pt>
                <c:pt idx="15">
                  <c:v>8.6837184798228009E-2</c:v>
                </c:pt>
                <c:pt idx="16">
                  <c:v>8.7894577635984836E-2</c:v>
                </c:pt>
                <c:pt idx="17">
                  <c:v>8.8943155381985772E-2</c:v>
                </c:pt>
                <c:pt idx="18">
                  <c:v>8.998791326076265E-2</c:v>
                </c:pt>
                <c:pt idx="19">
                  <c:v>9.1032967263924847E-2</c:v>
                </c:pt>
                <c:pt idx="20">
                  <c:v>9.2081767485064192E-2</c:v>
                </c:pt>
                <c:pt idx="21">
                  <c:v>9.3137253405839976E-2</c:v>
                </c:pt>
                <c:pt idx="22">
                  <c:v>9.4201968804742992E-2</c:v>
                </c:pt>
                <c:pt idx="23">
                  <c:v>9.5278148069688484E-2</c:v>
                </c:pt>
                <c:pt idx="24">
                  <c:v>9.6367781925767323E-2</c:v>
                </c:pt>
                <c:pt idx="25">
                  <c:v>9.7472668124609849E-2</c:v>
                </c:pt>
                <c:pt idx="26">
                  <c:v>9.8594450998569699E-2</c:v>
                </c:pt>
                <c:pt idx="27">
                  <c:v>9.9734652667880869E-2</c:v>
                </c:pt>
                <c:pt idx="28">
                  <c:v>0.10089469791994228</c:v>
                </c:pt>
                <c:pt idx="29">
                  <c:v>0.10207593424159039</c:v>
                </c:pt>
              </c:numCache>
            </c:numRef>
          </c:val>
          <c:smooth val="0"/>
          <c:extLst>
            <c:ext xmlns:c16="http://schemas.microsoft.com/office/drawing/2014/chart" uri="{C3380CC4-5D6E-409C-BE32-E72D297353CC}">
              <c16:uniqueId val="{00000000-0CF2-4C58-88F0-63307AC26BC6}"/>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'All Cash'!$M$5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'All Cash'!$M$7:$M$36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0CF2-4C58-88F0-63307AC26BC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'All Cash'!$N$5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'All Cash'!$N$7:$N$36</c15:sqref>
                        </c15:formulaRef>
                      </c:ext>
                    </c:extLst>
                    <c:numCache>
                      <c:formatCode>_("$"* #,##0_);_("$"* \(#,##0\);_("$"* "-"??_);_(@_)</c:formatCode>
                      <c:ptCount val="30"/>
                      <c:pt idx="0">
                        <c:v>6050.2935255266348</c:v>
                      </c:pt>
                      <c:pt idx="1">
                        <c:v>48096.336158553226</c:v>
                      </c:pt>
                      <c:pt idx="2">
                        <c:v>90739.003617842376</c:v>
                      </c:pt>
                      <c:pt idx="3">
                        <c:v>133999.17777231318</c:v>
                      </c:pt>
                      <c:pt idx="4">
                        <c:v>177898.47135629709</c:v>
                      </c:pt>
                      <c:pt idx="5">
                        <c:v>222459.25354982691</c:v>
                      </c:pt>
                      <c:pt idx="6">
                        <c:v>267704.67645423696</c:v>
                      </c:pt>
                      <c:pt idx="7">
                        <c:v>313658.70249440777</c:v>
                      </c:pt>
                      <c:pt idx="8">
                        <c:v>360346.13278009108</c:v>
                      </c:pt>
                      <c:pt idx="9">
                        <c:v>407792.63645988004</c:v>
                      </c:pt>
                      <c:pt idx="10">
                        <c:v>456024.78110256814</c:v>
                      </c:pt>
                      <c:pt idx="11">
                        <c:v>505070.06414185686</c:v>
                      </c:pt>
                      <c:pt idx="12">
                        <c:v>554956.94542162714</c:v>
                      </c:pt>
                      <c:pt idx="13">
                        <c:v>605714.88088029623</c:v>
                      </c:pt>
                      <c:pt idx="14">
                        <c:v>657374.357414125</c:v>
                      </c:pt>
                      <c:pt idx="15">
                        <c:v>709966.92896074464</c:v>
                      </c:pt>
                      <c:pt idx="16">
                        <c:v>763525.25384560227</c:v>
                      </c:pt>
                      <c:pt idx="17">
                        <c:v>818083.13343553653</c:v>
                      </c:pt>
                      <c:pt idx="18">
                        <c:v>873675.55214522511</c:v>
                      </c:pt>
                      <c:pt idx="19">
                        <c:v>930338.71884385939</c:v>
                      </c:pt>
                      <c:pt idx="20">
                        <c:v>988110.10971105227</c:v>
                      </c:pt>
                      <c:pt idx="21">
                        <c:v>1047028.5125927039</c:v>
                      </c:pt>
                      <c:pt idx="22">
                        <c:v>1107134.0729093195</c:v>
                      </c:pt>
                      <c:pt idx="23">
                        <c:v>1168468.3411711231</c:v>
                      </c:pt>
                      <c:pt idx="24">
                        <c:v>1231074.3221561965</c:v>
                      </c:pt>
                      <c:pt idx="25">
                        <c:v>1294996.5258098543</c:v>
                      </c:pt>
                      <c:pt idx="26">
                        <c:v>1360281.0199254968</c:v>
                      </c:pt>
                      <c:pt idx="27">
                        <c:v>1426975.4846692928</c:v>
                      </c:pt>
                      <c:pt idx="28">
                        <c:v>1495129.2690132284</c:v>
                      </c:pt>
                      <c:pt idx="29">
                        <c:v>1564793.4491433084</c:v>
                      </c:pt>
                    </c:numCache>
                  </c:numRef>
                </c:val>
                <c:smooth val="0"/>
                <c:extLst xmlns:c15="http://schemas.microsoft.com/office/drawing/2012/chart">
                  <c:ext xmlns:c16="http://schemas.microsoft.com/office/drawing/2014/chart" uri="{C3380CC4-5D6E-409C-BE32-E72D297353CC}">
                    <c16:uniqueId val="{00000002-0CF2-4C58-88F0-63307AC26BC6}"/>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'With Loan'!$O$5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'With Loan'!$O$7:$O$36</c:f>
              <c:numCache>
                <c:formatCode>0.00%</c:formatCode>
                <c:ptCount val="30"/>
                <c:pt idx="0">
                  <c:v>-4.3411411683131999E-2</c:v>
                </c:pt>
                <c:pt idx="1">
                  <c:v>6.7069244643741741E-2</c:v>
                </c:pt>
                <c:pt idx="2">
                  <c:v>0.10563276034905933</c:v>
                </c:pt>
                <c:pt idx="3">
                  <c:v>0.1262638163690365</c:v>
                </c:pt>
                <c:pt idx="4">
                  <c:v>0.13976069781736988</c:v>
                </c:pt>
                <c:pt idx="5">
                  <c:v>0.14972399771654535</c:v>
                </c:pt>
                <c:pt idx="6">
                  <c:v>0.15769786164371563</c:v>
                </c:pt>
                <c:pt idx="7">
                  <c:v>0.16445530003066403</c:v>
                </c:pt>
                <c:pt idx="8">
                  <c:v>0.17042662664575431</c:v>
                </c:pt>
                <c:pt idx="9">
                  <c:v>0.17587083496463737</c:v>
                </c:pt>
                <c:pt idx="10">
                  <c:v>0.18095349744178194</c:v>
                </c:pt>
                <c:pt idx="11">
                  <c:v>0.18578571602125368</c:v>
                </c:pt>
                <c:pt idx="12">
                  <c:v>0.19044509632562062</c:v>
                </c:pt>
                <c:pt idx="13">
                  <c:v>0.19498773371206266</c:v>
                </c:pt>
                <c:pt idx="14">
                  <c:v>0.19945540568487158</c:v>
                </c:pt>
                <c:pt idx="15">
                  <c:v>0.20388006790986343</c:v>
                </c:pt>
                <c:pt idx="16">
                  <c:v>0.20828676413805478</c:v>
                </c:pt>
                <c:pt idx="17">
                  <c:v>0.21269556687690783</c:v>
                </c:pt>
                <c:pt idx="18">
                  <c:v>0.21712290592692324</c:v>
                </c:pt>
                <c:pt idx="19">
                  <c:v>0.22158249905510238</c:v>
                </c:pt>
                <c:pt idx="20">
                  <c:v>0.22608601745039736</c:v>
                </c:pt>
                <c:pt idx="21">
                  <c:v>0.23064357037251346</c:v>
                </c:pt>
                <c:pt idx="22">
                  <c:v>0.23526406404577938</c:v>
                </c:pt>
                <c:pt idx="23">
                  <c:v>0.23995547150005073</c:v>
                </c:pt>
                <c:pt idx="24">
                  <c:v>0.24472503831680026</c:v>
                </c:pt>
                <c:pt idx="25">
                  <c:v>0.24957944155992953</c:v>
                </c:pt>
                <c:pt idx="26">
                  <c:v>0.25452491405178795</c:v>
                </c:pt>
                <c:pt idx="27">
                  <c:v>0.25956734268127246</c:v>
                </c:pt>
                <c:pt idx="28">
                  <c:v>0.26471234703531349</c:v>
                </c:pt>
                <c:pt idx="29">
                  <c:v>0.26996534296818597</c:v>
                </c:pt>
              </c:numCache>
            </c:numRef>
          </c:val>
          <c:smooth val="0"/>
          <c:extLst>
            <c:ext xmlns:c16="http://schemas.microsoft.com/office/drawing/2014/chart" uri="{C3380CC4-5D6E-409C-BE32-E72D297353CC}">
              <c16:uniqueId val="{00000000-F50A-4A7D-BD8C-8909B2749CF2}"/>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'With Loan'!$M$5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'With Loan'!$M$7:$M$36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F50A-4A7D-BD8C-8909B2749CF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'With Loan'!$N$5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'With Loan'!$N$7:$N$36</c15:sqref>
                        </c15:formulaRef>
                      </c:ext>
                    </c:extLst>
                    <c:numCache>
                      <c:formatCode>_("$"* #,##0_);_("$"* \(#,##0\);_("$"* "-"??_);_(@_)</c:formatCode>
                      <c:ptCount val="30"/>
                      <c:pt idx="0">
                        <c:v>-7120.7615854135947</c:v>
                      </c:pt>
                      <c:pt idx="1">
                        <c:v>22002.698475130834</c:v>
                      </c:pt>
                      <c:pt idx="2">
                        <c:v>51980.73544890403</c:v>
                      </c:pt>
                      <c:pt idx="3">
                        <c:v>82844.072410361608</c:v>
                      </c:pt>
                      <c:pt idx="4">
                        <c:v>114624.53875408323</c:v>
                      </c:pt>
                      <c:pt idx="5">
                        <c:v>147355.11009914381</c:v>
                      </c:pt>
                      <c:pt idx="6">
                        <c:v>181069.94963527887</c:v>
                      </c:pt>
                      <c:pt idx="7">
                        <c:v>215804.45096302516</c:v>
                      </c:pt>
                      <c:pt idx="8">
                        <c:v>251595.28248191753</c:v>
                      </c:pt>
                      <c:pt idx="9">
                        <c:v>288480.43338277633</c:v>
                      </c:pt>
                      <c:pt idx="10">
                        <c:v>326499.26130215777</c:v>
                      </c:pt>
                      <c:pt idx="11">
                        <c:v>365692.54169914336</c:v>
                      </c:pt>
                      <c:pt idx="12">
                        <c:v>406102.51901682478</c:v>
                      </c:pt>
                      <c:pt idx="13">
                        <c:v>447772.95969310735</c:v>
                      </c:pt>
                      <c:pt idx="14">
                        <c:v>490749.20708779269</c:v>
                      </c:pt>
                      <c:pt idx="15">
                        <c:v>535078.23839533946</c:v>
                      </c:pt>
                      <c:pt idx="16">
                        <c:v>580808.72361520655</c:v>
                      </c:pt>
                      <c:pt idx="17">
                        <c:v>627991.08665430278</c:v>
                      </c:pt>
                      <c:pt idx="18">
                        <c:v>676677.56863876618</c:v>
                      </c:pt>
                      <c:pt idx="19">
                        <c:v>726922.29351509595</c:v>
                      </c:pt>
                      <c:pt idx="20">
                        <c:v>778781.33602356829</c:v>
                      </c:pt>
                      <c:pt idx="21">
                        <c:v>832312.79212987528</c:v>
                      </c:pt>
                      <c:pt idx="22">
                        <c:v>887576.85200404213</c:v>
                      </c:pt>
                      <c:pt idx="23">
                        <c:v>944635.87563891523</c:v>
                      </c:pt>
                      <c:pt idx="24">
                        <c:v>1003554.4712038584</c:v>
                      </c:pt>
                      <c:pt idx="25">
                        <c:v>1064399.5762327698</c:v>
                      </c:pt>
                      <c:pt idx="26">
                        <c:v>1127240.541749126</c:v>
                      </c:pt>
                      <c:pt idx="27">
                        <c:v>1192149.2194344958</c:v>
                      </c:pt>
                      <c:pt idx="28">
                        <c:v>1259200.0519508198</c:v>
                      </c:pt>
                      <c:pt idx="29">
                        <c:v>1328470.1665307644</c:v>
                      </c:pt>
                    </c:numCache>
                  </c:numRef>
                </c:val>
                <c:smooth val="0"/>
                <c:extLst xmlns:c15="http://schemas.microsoft.com/office/drawing/2012/chart">
                  <c:ext xmlns:c16="http://schemas.microsoft.com/office/drawing/2014/chart" uri="{C3380CC4-5D6E-409C-BE32-E72D297353CC}">
                    <c16:uniqueId val="{00000002-F50A-4A7D-BD8C-8909B2749CF2}"/>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'Owner Occupier'!$O$5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'Owner Occupier'!$O$7:$O$36</c:f>
              <c:numCache>
                <c:formatCode>0.00%</c:formatCode>
                <c:ptCount val="30"/>
                <c:pt idx="0">
                  <c:v>-0.35794000276236798</c:v>
                </c:pt>
                <c:pt idx="1">
                  <c:v>0.24910108719284507</c:v>
                </c:pt>
                <c:pt idx="2">
                  <c:v>0.46223362376601368</c:v>
                </c:pt>
                <c:pt idx="3">
                  <c:v>0.57719805255073831</c:v>
                </c:pt>
                <c:pt idx="4">
                  <c:v>0.65315201386051025</c:v>
                </c:pt>
                <c:pt idx="5">
                  <c:v>0.70982299148195083</c:v>
                </c:pt>
                <c:pt idx="6">
                  <c:v>0.75567298731818155</c:v>
                </c:pt>
                <c:pt idx="7">
                  <c:v>0.79493969963679956</c:v>
                </c:pt>
                <c:pt idx="8">
                  <c:v>0.82998359134842881</c:v>
                </c:pt>
                <c:pt idx="9">
                  <c:v>0.86222672561340552</c:v>
                </c:pt>
                <c:pt idx="10">
                  <c:v>0.89257951714219874</c:v>
                </c:pt>
                <c:pt idx="11">
                  <c:v>0.92165411532262087</c:v>
                </c:pt>
                <c:pt idx="12">
                  <c:v>0.94987931000495951</c:v>
                </c:pt>
                <c:pt idx="13">
                  <c:v>0.97756619888304985</c:v>
                </c:pt>
                <c:pt idx="14">
                  <c:v>1.0049475946524344</c:v>
                </c:pt>
                <c:pt idx="15">
                  <c:v>1.032202661046048</c:v>
                </c:pt>
                <c:pt idx="16">
                  <c:v>1.0594728602219656</c:v>
                </c:pt>
                <c:pt idx="17">
                  <c:v>1.0868725906652532</c:v>
                </c:pt>
                <c:pt idx="18">
                  <c:v>1.1144964719702031</c:v>
                </c:pt>
                <c:pt idx="19">
                  <c:v>1.1424244503319794</c:v>
                </c:pt>
                <c:pt idx="20">
                  <c:v>1.1707254514128984</c:v>
                </c:pt>
                <c:pt idx="21">
                  <c:v>1.1994600430157616</c:v>
                </c:pt>
                <c:pt idx="22">
                  <c:v>1.2286824091596684</c:v>
                </c:pt>
                <c:pt idx="23">
                  <c:v>1.2584418366309749</c:v>
                </c:pt>
                <c:pt idx="24">
                  <c:v>1.2887838507478309</c:v>
                </c:pt>
                <c:pt idx="25">
                  <c:v>1.319751095012426</c:v>
                </c:pt>
                <c:pt idx="26">
                  <c:v>1.3513840212825274</c:v>
                </c:pt>
                <c:pt idx="27">
                  <c:v>1.3837214380654197</c:v>
                </c:pt>
                <c:pt idx="28">
                  <c:v>1.4168009514145903</c:v>
                </c:pt>
                <c:pt idx="29">
                  <c:v>1.45065932372397</c:v>
                </c:pt>
              </c:numCache>
            </c:numRef>
          </c:val>
          <c:smooth val="0"/>
          <c:extLst>
            <c:ext xmlns:c16="http://schemas.microsoft.com/office/drawing/2014/chart" uri="{C3380CC4-5D6E-409C-BE32-E72D297353CC}">
              <c16:uniqueId val="{00000000-3472-40B5-AC9C-E6F06108AAA9}"/>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'Owner Occupier'!$M$5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'Owner Occupier'!$M$7:$M$36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3472-40B5-AC9C-E6F06108AAA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'Owner Occupier'!$N$5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'Owner Occupier'!$N$7:$N$36</c15:sqref>
                        </c15:formulaRef>
                      </c:ext>
                    </c:extLst>
                    <c:numCache>
                      <c:formatCode>_("$"* #,##0_);_("$"* \(#,##0\);_("$"* "-"??_);_(@_)</c:formatCode>
                      <c:ptCount val="30"/>
                      <c:pt idx="0">
                        <c:v>-10717.571029419661</c:v>
                      </c:pt>
                      <c:pt idx="1">
                        <c:v>14917.352488637029</c:v>
                      </c:pt>
                      <c:pt idx="2">
                        <c:v>41521.106805605159</c:v>
                      </c:pt>
                      <c:pt idx="3">
                        <c:v>69130.704347255174</c:v>
                      </c:pt>
                      <c:pt idx="4">
                        <c:v>97784.587466266836</c:v>
                      </c:pt>
                      <c:pt idx="5">
                        <c:v>127522.68431824649</c:v>
                      </c:pt>
                      <c:pt idx="6">
                        <c:v>158386.46694600428</c:v>
                      </c:pt>
                      <c:pt idx="7">
                        <c:v>190419.01166032313</c:v>
                      </c:pt>
                      <c:pt idx="8">
                        <c:v>223665.0618090218</c:v>
                      </c:pt>
                      <c:pt idx="9">
                        <c:v>258171.09302981658</c:v>
                      </c:pt>
                      <c:pt idx="10">
                        <c:v>293985.38108634687</c:v>
                      </c:pt>
                      <c:pt idx="11">
                        <c:v>331158.07239075011</c:v>
                      </c:pt>
                      <c:pt idx="12">
                        <c:v>369741.25732034526</c:v>
                      </c:pt>
                      <c:pt idx="13">
                        <c:v>409789.04644034221</c:v>
                      </c:pt>
                      <c:pt idx="14">
                        <c:v>451357.64974901563</c:v>
                      </c:pt>
                      <c:pt idx="15">
                        <c:v>494505.45906650845</c:v>
                      </c:pt>
                      <c:pt idx="16">
                        <c:v>539293.13369331858</c:v>
                      </c:pt>
                      <c:pt idx="17">
                        <c:v>585783.68946964771</c:v>
                      </c:pt>
                      <c:pt idx="18">
                        <c:v>634042.59137209633</c:v>
                      </c:pt>
                      <c:pt idx="19">
                        <c:v>684137.84978972329</c:v>
                      </c:pt>
                      <c:pt idx="20">
                        <c:v>736140.12062725576</c:v>
                      </c:pt>
                      <c:pt idx="21">
                        <c:v>790122.80938922206</c:v>
                      </c:pt>
                      <c:pt idx="22">
                        <c:v>846162.17940502509</c:v>
                      </c:pt>
                      <c:pt idx="23">
                        <c:v>904337.46436147531</c:v>
                      </c:pt>
                      <c:pt idx="24">
                        <c:v>964730.98531605757</c:v>
                      </c:pt>
                      <c:pt idx="25">
                        <c:v>1027428.2723712533</c:v>
                      </c:pt>
                      <c:pt idx="26">
                        <c:v>1092518.1911975632</c:v>
                      </c:pt>
                      <c:pt idx="27">
                        <c:v>1160093.0746005138</c:v>
                      </c:pt>
                      <c:pt idx="28">
                        <c:v>1230248.8593348647</c:v>
                      </c:pt>
                      <c:pt idx="29">
                        <c:v>1303085.2283775082</c:v>
                      </c:pt>
                    </c:numCache>
                  </c:numRef>
                </c:val>
                <c:smooth val="0"/>
                <c:extLst xmlns:c15="http://schemas.microsoft.com/office/drawing/2012/chart">
                  <c:ext xmlns:c16="http://schemas.microsoft.com/office/drawing/2014/chart" uri="{C3380CC4-5D6E-409C-BE32-E72D297353CC}">
                    <c16:uniqueId val="{00000002-3472-40B5-AC9C-E6F06108AAA9}"/>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76759</xdr:colOff>
      <xdr:row>38</xdr:row>
      <xdr:rowOff>95250</xdr:rowOff>
    </xdr:from>
    <xdr:to>
      <xdr:col>4</xdr:col>
      <xdr:colOff>1229285</xdr:colOff>
      <xdr:row>42</xdr:row>
      <xdr:rowOff>133350</xdr:rowOff>
    </xdr:to>
    <xdr:sp macro="" textlink="">
      <xdr:nvSpPr>
        <xdr:cNvPr id="7" name="TextBox 3">
          <a:extLst>
            <a:ext uri="{FF2B5EF4-FFF2-40B4-BE49-F238E27FC236}">
              <a16:creationId xmlns:a16="http://schemas.microsoft.com/office/drawing/2014/main" id="{7039BF56-D730-64D7-B859-B0E1DD282887}"/>
            </a:ext>
          </a:extLst>
        </xdr:cNvPr>
        <xdr:cNvSpPr txBox="1"/>
      </xdr:nvSpPr>
      <xdr:spPr>
        <a:xfrm>
          <a:off x="76759" y="7324725"/>
          <a:ext cx="5734051"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1" u="none" strike="noStrike">
              <a:solidFill>
                <a:schemeClr val="dk1"/>
              </a:solidFill>
              <a:effectLst/>
              <a:latin typeface="+mn-lt"/>
              <a:ea typeface="+mn-ea"/>
              <a:cs typeface="+mn-cs"/>
            </a:rPr>
            <a:t>DISCLAIMER - </a:t>
          </a:r>
          <a:r>
            <a:rPr lang="en-US" sz="900" b="0" i="1" u="none" strike="noStrike">
              <a:solidFill>
                <a:schemeClr val="dk1"/>
              </a:solidFill>
              <a:effectLst/>
              <a:latin typeface="+mn-lt"/>
              <a:ea typeface="+mn-ea"/>
              <a:cs typeface="+mn-cs"/>
            </a:rPr>
            <a:t>Returns are based on assumptions. Actual returns will vary. Rosehaven Homes, LLC and Magnolia Village at Cinco Lakes, LLC  (the "Parties")</a:t>
          </a:r>
          <a:r>
            <a:rPr lang="en-US" sz="900" b="0" i="1" u="none" strike="noStrike" baseline="0">
              <a:solidFill>
                <a:schemeClr val="dk1"/>
              </a:solidFill>
              <a:effectLst/>
              <a:latin typeface="+mn-lt"/>
              <a:ea typeface="+mn-ea"/>
              <a:cs typeface="+mn-cs"/>
            </a:rPr>
            <a:t> </a:t>
          </a:r>
          <a:r>
            <a:rPr lang="en-US" sz="900" b="0" i="1" u="none" strike="noStrike">
              <a:solidFill>
                <a:schemeClr val="dk1"/>
              </a:solidFill>
              <a:effectLst/>
              <a:latin typeface="+mn-lt"/>
              <a:ea typeface="+mn-ea"/>
              <a:cs typeface="+mn-cs"/>
            </a:rPr>
            <a:t>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The Parities hereby disclaim any liability for the accuracy, completeness, or correctness of any information or assumptions provided. </a:t>
          </a:r>
          <a:r>
            <a:rPr lang="en-US" sz="900"/>
            <a:t> </a:t>
          </a:r>
        </a:p>
      </xdr:txBody>
    </xdr:sp>
    <xdr:clientData/>
  </xdr:twoCellAnchor>
  <xdr:twoCellAnchor editAs="oneCell">
    <xdr:from>
      <xdr:col>1</xdr:col>
      <xdr:colOff>1800225</xdr:colOff>
      <xdr:row>0</xdr:row>
      <xdr:rowOff>76200</xdr:rowOff>
    </xdr:from>
    <xdr:to>
      <xdr:col>3</xdr:col>
      <xdr:colOff>571500</xdr:colOff>
      <xdr:row>3</xdr:row>
      <xdr:rowOff>142958</xdr:rowOff>
    </xdr:to>
    <xdr:pic>
      <xdr:nvPicPr>
        <xdr:cNvPr id="13" name="Picture 12">
          <a:extLst>
            <a:ext uri="{FF2B5EF4-FFF2-40B4-BE49-F238E27FC236}">
              <a16:creationId xmlns:a16="http://schemas.microsoft.com/office/drawing/2014/main" id="{E5F5B517-63C9-0186-EEBF-61F9B97EA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 y="76200"/>
          <a:ext cx="2000250" cy="633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626722</xdr:colOff>
      <xdr:row>3</xdr:row>
      <xdr:rowOff>8062</xdr:rowOff>
    </xdr:to>
    <xdr:pic>
      <xdr:nvPicPr>
        <xdr:cNvPr id="2" name="Picture 1">
          <a:extLst>
            <a:ext uri="{FF2B5EF4-FFF2-40B4-BE49-F238E27FC236}">
              <a16:creationId xmlns:a16="http://schemas.microsoft.com/office/drawing/2014/main" id="{503E81F2-F9C4-4D05-AD71-84085203C2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6686" y="36741"/>
          <a:ext cx="1774900" cy="634150"/>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3" name="Chart 2">
          <a:extLst>
            <a:ext uri="{FF2B5EF4-FFF2-40B4-BE49-F238E27FC236}">
              <a16:creationId xmlns:a16="http://schemas.microsoft.com/office/drawing/2014/main" id="{BC16C3B8-6024-4C65-83F2-833C41994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645772</xdr:colOff>
      <xdr:row>3</xdr:row>
      <xdr:rowOff>8062</xdr:rowOff>
    </xdr:to>
    <xdr:pic>
      <xdr:nvPicPr>
        <xdr:cNvPr id="4" name="Picture 3">
          <a:extLst>
            <a:ext uri="{FF2B5EF4-FFF2-40B4-BE49-F238E27FC236}">
              <a16:creationId xmlns:a16="http://schemas.microsoft.com/office/drawing/2014/main" id="{6245581B-09C2-7A28-736B-AE93518CAF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6468" y="36741"/>
          <a:ext cx="1868907" cy="617585"/>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2" name="Chart 1">
          <a:extLst>
            <a:ext uri="{FF2B5EF4-FFF2-40B4-BE49-F238E27FC236}">
              <a16:creationId xmlns:a16="http://schemas.microsoft.com/office/drawing/2014/main" id="{E27D4E81-4D61-4243-A311-D0EB4E10A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626723</xdr:colOff>
      <xdr:row>3</xdr:row>
      <xdr:rowOff>8062</xdr:rowOff>
    </xdr:to>
    <xdr:pic>
      <xdr:nvPicPr>
        <xdr:cNvPr id="2" name="Picture 1">
          <a:extLst>
            <a:ext uri="{FF2B5EF4-FFF2-40B4-BE49-F238E27FC236}">
              <a16:creationId xmlns:a16="http://schemas.microsoft.com/office/drawing/2014/main" id="{FCECE085-9FF9-4953-9F59-1A10FFCFE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6686" y="36741"/>
          <a:ext cx="1774900" cy="634150"/>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3" name="Chart 2">
          <a:extLst>
            <a:ext uri="{FF2B5EF4-FFF2-40B4-BE49-F238E27FC236}">
              <a16:creationId xmlns:a16="http://schemas.microsoft.com/office/drawing/2014/main" id="{23D44A74-3BA2-49A3-95D5-EC29C7042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16C9-0766-4342-B34D-6EAF51367B17}">
  <dimension ref="A5:E44"/>
  <sheetViews>
    <sheetView tabSelected="1" zoomScale="120" zoomScaleNormal="120" workbookViewId="0"/>
  </sheetViews>
  <sheetFormatPr defaultRowHeight="15" x14ac:dyDescent="0.25"/>
  <cols>
    <col min="1" max="1" width="1.28515625" style="10" customWidth="1"/>
    <col min="2" max="2" width="29.42578125" style="102" customWidth="1"/>
    <col min="3" max="5" width="19" style="102" customWidth="1"/>
    <col min="9" max="9" width="10.28515625" customWidth="1"/>
  </cols>
  <sheetData>
    <row r="5" spans="2:5" x14ac:dyDescent="0.25">
      <c r="B5" s="18" t="s">
        <v>0</v>
      </c>
      <c r="C5" s="91"/>
      <c r="D5" s="91"/>
      <c r="E5" s="91"/>
    </row>
    <row r="6" spans="2:5" x14ac:dyDescent="0.25">
      <c r="B6" s="90" t="s">
        <v>1</v>
      </c>
      <c r="C6" s="91"/>
      <c r="D6" s="91"/>
      <c r="E6" s="91"/>
    </row>
    <row r="7" spans="2:5" x14ac:dyDescent="0.25">
      <c r="B7" s="78" t="s">
        <v>2</v>
      </c>
      <c r="C7" s="78" t="s">
        <v>3</v>
      </c>
      <c r="D7" s="78" t="s">
        <v>4</v>
      </c>
      <c r="E7" s="78" t="s">
        <v>5</v>
      </c>
    </row>
    <row r="8" spans="2:5" x14ac:dyDescent="0.25">
      <c r="B8" s="91" t="s">
        <v>6</v>
      </c>
      <c r="C8" s="92">
        <v>505990</v>
      </c>
      <c r="D8" s="92">
        <v>505990</v>
      </c>
      <c r="E8" s="92">
        <v>505990</v>
      </c>
    </row>
    <row r="9" spans="2:5" x14ac:dyDescent="0.25">
      <c r="B9" s="93" t="s">
        <v>7</v>
      </c>
      <c r="C9" s="94">
        <v>0</v>
      </c>
      <c r="D9" s="94">
        <v>0.3</v>
      </c>
      <c r="E9" s="94">
        <v>3.5000000000000003E-2</v>
      </c>
    </row>
    <row r="10" spans="2:5" x14ac:dyDescent="0.25">
      <c r="B10" s="93" t="s">
        <v>8</v>
      </c>
      <c r="C10" s="94"/>
      <c r="D10" s="94">
        <v>3.7499999999999999E-2</v>
      </c>
      <c r="E10" s="94">
        <v>4.2500000000000003E-2</v>
      </c>
    </row>
    <row r="11" spans="2:5" x14ac:dyDescent="0.25">
      <c r="B11" s="93" t="s">
        <v>9</v>
      </c>
      <c r="C11" s="92">
        <v>1775</v>
      </c>
      <c r="D11" s="92">
        <f>C11</f>
        <v>1775</v>
      </c>
      <c r="E11" s="92">
        <f>D11</f>
        <v>1775</v>
      </c>
    </row>
    <row r="12" spans="2:5" x14ac:dyDescent="0.25">
      <c r="B12" s="93" t="s">
        <v>10</v>
      </c>
      <c r="C12" s="95">
        <v>3.5000000000000003E-2</v>
      </c>
      <c r="D12" s="95">
        <v>3.5000000000000003E-2</v>
      </c>
      <c r="E12" s="95">
        <v>3.5000000000000003E-2</v>
      </c>
    </row>
    <row r="13" spans="2:5" x14ac:dyDescent="0.25">
      <c r="B13" s="96" t="s">
        <v>11</v>
      </c>
      <c r="C13" s="97">
        <v>15</v>
      </c>
      <c r="D13" s="97">
        <v>15</v>
      </c>
      <c r="E13" s="97">
        <v>15</v>
      </c>
    </row>
    <row r="14" spans="2:5" ht="14.25" customHeight="1" x14ac:dyDescent="0.25">
      <c r="B14" s="106" t="s">
        <v>12</v>
      </c>
      <c r="C14" s="106"/>
      <c r="D14" s="106"/>
      <c r="E14" s="106"/>
    </row>
    <row r="15" spans="2:5" x14ac:dyDescent="0.25">
      <c r="B15" s="91"/>
      <c r="C15" s="91"/>
      <c r="D15" s="91"/>
      <c r="E15" s="91"/>
    </row>
    <row r="16" spans="2:5" x14ac:dyDescent="0.25">
      <c r="B16" s="90" t="s">
        <v>13</v>
      </c>
      <c r="C16" s="91"/>
      <c r="D16" s="91"/>
      <c r="E16" s="91"/>
    </row>
    <row r="17" spans="2:5" x14ac:dyDescent="0.25">
      <c r="B17" s="78" t="s">
        <v>2</v>
      </c>
      <c r="C17" s="78" t="s">
        <v>3</v>
      </c>
      <c r="D17" s="78" t="s">
        <v>14</v>
      </c>
      <c r="E17" s="78" t="s">
        <v>5</v>
      </c>
    </row>
    <row r="18" spans="2:5" x14ac:dyDescent="0.25">
      <c r="B18" s="91" t="s">
        <v>15</v>
      </c>
      <c r="C18" s="92">
        <f>'All Cash'!$D$25</f>
        <v>42600</v>
      </c>
      <c r="D18" s="92">
        <f>'With Loan'!I25</f>
        <v>42600</v>
      </c>
      <c r="E18" s="92">
        <f>'Owner Occupier'!D25</f>
        <v>21300</v>
      </c>
    </row>
    <row r="19" spans="2:5" x14ac:dyDescent="0.25">
      <c r="B19" s="98" t="s">
        <v>16</v>
      </c>
      <c r="C19" s="99">
        <f>'All Cash'!$D$26</f>
        <v>510990.00000000012</v>
      </c>
      <c r="D19" s="99">
        <f>'With Loan'!D38</f>
        <v>164029.71728699733</v>
      </c>
      <c r="E19" s="99">
        <f>'Owner Occupier'!D38</f>
        <v>29942.367286997331</v>
      </c>
    </row>
    <row r="20" spans="2:5" x14ac:dyDescent="0.25">
      <c r="B20" s="91" t="s">
        <v>17</v>
      </c>
      <c r="C20" s="92">
        <f>'All Cash'!$H$37</f>
        <v>374994.28538289998</v>
      </c>
      <c r="D20" s="92">
        <f>'With Loan'!$H$38</f>
        <v>79736.14407662797</v>
      </c>
      <c r="E20" s="92"/>
    </row>
    <row r="21" spans="2:5" x14ac:dyDescent="0.25">
      <c r="B21" s="91" t="s">
        <v>18</v>
      </c>
      <c r="C21" s="92"/>
      <c r="D21" s="92">
        <f>'With Loan'!$H$35</f>
        <v>128632.99097993961</v>
      </c>
      <c r="E21" s="92">
        <f>'Owner Occupier'!$H$34</f>
        <v>78291.231520949514</v>
      </c>
    </row>
    <row r="22" spans="2:5" x14ac:dyDescent="0.25">
      <c r="B22" s="91" t="s">
        <v>19</v>
      </c>
      <c r="C22" s="92">
        <f>'All Cash'!$H$33</f>
        <v>341719.75487228506</v>
      </c>
      <c r="D22" s="92">
        <f>'With Loan'!$H$33</f>
        <v>341719.75487228506</v>
      </c>
      <c r="E22" s="92">
        <f>'Owner Occupier'!$H$32</f>
        <v>341719.75487228506</v>
      </c>
    </row>
    <row r="23" spans="2:5" x14ac:dyDescent="0.25">
      <c r="B23" s="98" t="s">
        <v>20</v>
      </c>
      <c r="C23" s="99">
        <f>'All Cash'!$D$29</f>
        <v>657374.357414125</v>
      </c>
      <c r="D23" s="99">
        <f>'With Loan'!H39</f>
        <v>490749.20708779269</v>
      </c>
      <c r="E23" s="99">
        <f>'Owner Occupier'!D31</f>
        <v>360671.30355217459</v>
      </c>
    </row>
    <row r="24" spans="2:5" x14ac:dyDescent="0.25">
      <c r="B24" s="90" t="s">
        <v>21</v>
      </c>
      <c r="C24" s="104">
        <f>'All Cash'!$D$30</f>
        <v>8.576480393146961E-2</v>
      </c>
      <c r="D24" s="104">
        <f>'With Loan'!H43</f>
        <v>0.19945540568487158</v>
      </c>
      <c r="E24" s="104">
        <f>'Owner Occupier'!H38</f>
        <v>0.80303448754322659</v>
      </c>
    </row>
    <row r="25" spans="2:5" x14ac:dyDescent="0.25">
      <c r="B25" s="91" t="s">
        <v>22</v>
      </c>
      <c r="C25" s="104">
        <f>'All Cash'!$D$32</f>
        <v>4.9407338140134524E-2</v>
      </c>
      <c r="D25" s="104"/>
      <c r="E25" s="104"/>
    </row>
    <row r="26" spans="2:5" x14ac:dyDescent="0.25">
      <c r="B26" s="91" t="s">
        <v>23</v>
      </c>
      <c r="C26" s="94"/>
      <c r="D26" s="104">
        <f>'With Loan'!H41</f>
        <v>3.2407194417954685E-2</v>
      </c>
      <c r="E26" s="94"/>
    </row>
    <row r="27" spans="2:5" x14ac:dyDescent="0.25">
      <c r="B27" s="91" t="s">
        <v>24</v>
      </c>
      <c r="C27" s="94"/>
      <c r="D27" s="104">
        <f>D26+D12</f>
        <v>6.7407194417954688E-2</v>
      </c>
      <c r="E27" s="94"/>
    </row>
    <row r="28" spans="2:5" x14ac:dyDescent="0.25">
      <c r="B28" s="91" t="s">
        <v>25</v>
      </c>
      <c r="C28" s="92"/>
      <c r="D28" s="92"/>
      <c r="E28" s="105">
        <f>-1*'Owner Occupier'!H26</f>
        <v>1936.3587538530769</v>
      </c>
    </row>
    <row r="29" spans="2:5" x14ac:dyDescent="0.25">
      <c r="B29" s="98" t="s">
        <v>26</v>
      </c>
      <c r="C29" s="101">
        <f>'All Cash'!H43</f>
        <v>7.4749678046102552E-2</v>
      </c>
      <c r="D29" s="101">
        <f>'With Loan'!H44</f>
        <v>0.1055962143223057</v>
      </c>
      <c r="E29" s="101"/>
    </row>
    <row r="30" spans="2:5" x14ac:dyDescent="0.25">
      <c r="B30" s="91"/>
      <c r="C30" s="92"/>
      <c r="D30" s="92"/>
      <c r="E30" s="92"/>
    </row>
    <row r="31" spans="2:5" x14ac:dyDescent="0.25">
      <c r="B31" s="90" t="s">
        <v>27</v>
      </c>
      <c r="C31" s="91"/>
      <c r="D31" s="91"/>
      <c r="E31" s="91"/>
    </row>
    <row r="32" spans="2:5" x14ac:dyDescent="0.25">
      <c r="B32" s="78" t="s">
        <v>2</v>
      </c>
      <c r="C32" s="78" t="s">
        <v>138</v>
      </c>
      <c r="D32" s="78" t="s">
        <v>139</v>
      </c>
      <c r="E32" s="78" t="s">
        <v>139</v>
      </c>
    </row>
    <row r="33" spans="2:5" x14ac:dyDescent="0.25">
      <c r="B33" s="91" t="s">
        <v>28</v>
      </c>
      <c r="C33" s="92">
        <f>C8</f>
        <v>505990</v>
      </c>
      <c r="D33" s="92">
        <v>475000</v>
      </c>
      <c r="E33" s="92">
        <v>565000</v>
      </c>
    </row>
    <row r="34" spans="2:5" x14ac:dyDescent="0.25">
      <c r="B34" s="91" t="s">
        <v>29</v>
      </c>
      <c r="C34" s="92">
        <f>C11</f>
        <v>1775</v>
      </c>
      <c r="D34" s="92">
        <v>1450</v>
      </c>
      <c r="E34" s="92">
        <v>1725</v>
      </c>
    </row>
    <row r="35" spans="2:5" x14ac:dyDescent="0.25">
      <c r="B35" s="91" t="s">
        <v>30</v>
      </c>
      <c r="C35" s="92">
        <f>C34*2</f>
        <v>3550</v>
      </c>
      <c r="D35" s="92">
        <f>D34*2</f>
        <v>2900</v>
      </c>
      <c r="E35" s="92">
        <f>E34*2</f>
        <v>3450</v>
      </c>
    </row>
    <row r="36" spans="2:5" x14ac:dyDescent="0.25">
      <c r="B36" s="100" t="s">
        <v>31</v>
      </c>
      <c r="C36" s="101">
        <f>C35/C33</f>
        <v>7.0159489317970711E-3</v>
      </c>
      <c r="D36" s="101">
        <f>D35/D33</f>
        <v>6.1052631578947369E-3</v>
      </c>
      <c r="E36" s="101">
        <f>E35/E33</f>
        <v>6.1061946902654868E-3</v>
      </c>
    </row>
    <row r="37" spans="2:5" ht="15" customHeight="1" x14ac:dyDescent="0.25">
      <c r="B37" s="107" t="s">
        <v>32</v>
      </c>
      <c r="C37" s="107"/>
      <c r="D37" s="107"/>
      <c r="E37" s="107"/>
    </row>
    <row r="38" spans="2:5" x14ac:dyDescent="0.25">
      <c r="B38" s="108"/>
      <c r="C38" s="108"/>
      <c r="D38" s="108"/>
      <c r="E38" s="108"/>
    </row>
    <row r="43" spans="2:5" x14ac:dyDescent="0.25">
      <c r="E43" s="103"/>
    </row>
    <row r="44" spans="2:5" x14ac:dyDescent="0.25">
      <c r="B44" s="109" t="s">
        <v>33</v>
      </c>
      <c r="C44" s="109"/>
      <c r="D44" s="109"/>
      <c r="E44" s="109"/>
    </row>
  </sheetData>
  <mergeCells count="3">
    <mergeCell ref="B14:E14"/>
    <mergeCell ref="B37:E38"/>
    <mergeCell ref="B44:E4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BC52-B97A-49E2-8435-53CAD6E7E736}">
  <sheetPr>
    <pageSetUpPr fitToPage="1"/>
  </sheetPr>
  <dimension ref="A1:AA70"/>
  <sheetViews>
    <sheetView topLeftCell="A11" zoomScale="85" zoomScaleNormal="85" workbookViewId="0">
      <selection activeCell="AA28" sqref="AA28:AA29"/>
    </sheetView>
  </sheetViews>
  <sheetFormatPr defaultRowHeight="15" outlineLevelCol="1" x14ac:dyDescent="0.25"/>
  <cols>
    <col min="1" max="1" width="2.85546875" customWidth="1"/>
    <col min="2" max="2" width="43.85546875" customWidth="1"/>
    <col min="3" max="3" width="9" customWidth="1"/>
    <col min="4" max="4" width="12.7109375" style="8" customWidth="1"/>
    <col min="5" max="5" width="13.140625" style="9" customWidth="1"/>
    <col min="6" max="6" width="5.28515625" customWidth="1"/>
    <col min="7" max="7" width="47.5703125" bestFit="1" customWidth="1"/>
    <col min="8" max="8" width="14.140625" bestFit="1" customWidth="1"/>
    <col min="9" max="9" width="13.140625" customWidth="1"/>
    <col min="10" max="10" width="13.42578125" bestFit="1" customWidth="1"/>
    <col min="12" max="12" width="9" style="30" customWidth="1"/>
    <col min="13" max="13" width="9.28515625" style="30" hidden="1" customWidth="1" outlineLevel="1"/>
    <col min="14" max="14" width="20.28515625" style="30" hidden="1" customWidth="1" outlineLevel="1"/>
    <col min="15" max="15" width="20.85546875" style="30" hidden="1" customWidth="1" outlineLevel="1"/>
    <col min="16" max="16" width="26.28515625" style="30" hidden="1" customWidth="1" outlineLevel="1"/>
    <col min="17" max="17" width="19.28515625" style="30" hidden="1" customWidth="1" outlineLevel="1"/>
    <col min="18" max="18" width="9.5703125" style="30" hidden="1" customWidth="1" outlineLevel="1"/>
    <col min="19" max="19" width="12.7109375" style="30" hidden="1" customWidth="1" outlineLevel="1"/>
    <col min="20" max="20" width="12.5703125" style="30" hidden="1" customWidth="1" outlineLevel="1"/>
    <col min="21" max="21" width="17.5703125" style="30" hidden="1" customWidth="1" outlineLevel="1"/>
    <col min="22" max="22" width="16.42578125" style="30" hidden="1" customWidth="1" outlineLevel="1"/>
    <col min="23" max="23" width="24.140625" style="30" hidden="1" customWidth="1" outlineLevel="1"/>
    <col min="24" max="24" width="13.5703125" style="30" hidden="1" customWidth="1" outlineLevel="1"/>
    <col min="25" max="25" width="12.42578125" style="30" hidden="1" customWidth="1" outlineLevel="1"/>
    <col min="26" max="26" width="20.5703125" hidden="1" customWidth="1" outlineLevel="1"/>
    <col min="27" max="27" width="9.140625" collapsed="1"/>
  </cols>
  <sheetData>
    <row r="1" spans="1:26" x14ac:dyDescent="0.25">
      <c r="A1" s="10"/>
      <c r="B1" s="112"/>
      <c r="C1" s="112"/>
      <c r="D1" s="112"/>
      <c r="E1" s="112"/>
      <c r="F1" s="112"/>
      <c r="G1" s="112"/>
      <c r="H1" s="112"/>
      <c r="I1" s="112"/>
    </row>
    <row r="2" spans="1:26" x14ac:dyDescent="0.25">
      <c r="A2" s="10"/>
      <c r="B2" s="112"/>
      <c r="C2" s="112"/>
      <c r="D2" s="112"/>
      <c r="E2" s="112"/>
      <c r="F2" s="112"/>
      <c r="G2" s="112"/>
      <c r="H2" s="112"/>
      <c r="I2" s="112"/>
    </row>
    <row r="3" spans="1:26" ht="23.25" customHeight="1" x14ac:dyDescent="0.25">
      <c r="A3" s="10"/>
      <c r="B3" s="112"/>
      <c r="C3" s="112"/>
      <c r="D3" s="112"/>
      <c r="E3" s="112"/>
      <c r="F3" s="112"/>
      <c r="G3" s="112"/>
      <c r="H3" s="112"/>
      <c r="I3" s="112"/>
    </row>
    <row r="4" spans="1:26" ht="22.5" x14ac:dyDescent="0.3">
      <c r="A4" s="10"/>
      <c r="B4" s="113" t="s">
        <v>34</v>
      </c>
      <c r="C4" s="113"/>
      <c r="D4" s="113"/>
      <c r="E4" s="113"/>
      <c r="F4" s="113"/>
      <c r="G4" s="113"/>
      <c r="H4" s="113"/>
      <c r="I4" s="113"/>
    </row>
    <row r="5" spans="1:26" x14ac:dyDescent="0.25">
      <c r="A5" s="10"/>
      <c r="B5" s="43"/>
      <c r="C5" s="43"/>
      <c r="D5" s="44"/>
      <c r="E5" s="45"/>
      <c r="F5" s="43"/>
      <c r="G5" s="43"/>
      <c r="H5" s="43"/>
      <c r="I5" s="43"/>
      <c r="M5" s="31" t="s">
        <v>35</v>
      </c>
      <c r="N5" s="31" t="s">
        <v>36</v>
      </c>
      <c r="O5" s="32" t="s">
        <v>37</v>
      </c>
      <c r="P5" s="31" t="s">
        <v>38</v>
      </c>
      <c r="Q5" s="31" t="s">
        <v>10</v>
      </c>
      <c r="R5" s="31" t="s">
        <v>6</v>
      </c>
      <c r="S5" s="31" t="s">
        <v>39</v>
      </c>
      <c r="T5" s="31" t="s">
        <v>40</v>
      </c>
      <c r="U5" s="31" t="s">
        <v>41</v>
      </c>
      <c r="V5" s="31" t="s">
        <v>42</v>
      </c>
      <c r="W5" s="33" t="s">
        <v>17</v>
      </c>
      <c r="X5" s="33" t="s">
        <v>43</v>
      </c>
      <c r="Y5" s="33" t="s">
        <v>44</v>
      </c>
      <c r="Z5" s="33" t="s">
        <v>45</v>
      </c>
    </row>
    <row r="6" spans="1:26" ht="14.25" customHeight="1" x14ac:dyDescent="0.25">
      <c r="A6" s="10"/>
      <c r="B6" s="43"/>
      <c r="C6" s="43"/>
      <c r="D6" s="44"/>
      <c r="E6" s="45"/>
      <c r="F6" s="43"/>
      <c r="G6" s="43"/>
      <c r="H6" s="43"/>
      <c r="I6" s="43"/>
      <c r="M6" s="30">
        <v>0</v>
      </c>
      <c r="X6" s="34">
        <f>-$D$38</f>
        <v>-510990.00000000012</v>
      </c>
      <c r="Z6" s="70">
        <f t="shared" ref="Z6:Z36" si="0">IF($H$32&gt;=M6,SUM(X6:Y6),0)</f>
        <v>-510990.00000000012</v>
      </c>
    </row>
    <row r="7" spans="1:26" ht="14.25" customHeight="1" x14ac:dyDescent="0.25">
      <c r="A7" s="10"/>
      <c r="B7" s="43"/>
      <c r="C7" s="43"/>
      <c r="D7" s="44"/>
      <c r="E7" s="45"/>
      <c r="F7" s="43"/>
      <c r="G7" s="43"/>
      <c r="H7" s="43"/>
      <c r="I7" s="43"/>
      <c r="M7" s="30">
        <v>1</v>
      </c>
      <c r="N7" s="34">
        <f t="shared" ref="N7:N36" si="1">W7+T7+U7-V7</f>
        <v>6050.2935255266348</v>
      </c>
      <c r="O7" s="35">
        <f t="shared" ref="O7:O36" si="2">N7/P7/M7</f>
        <v>1.1840336455755756E-2</v>
      </c>
      <c r="P7" s="36">
        <f>'All Cash'!$D$38</f>
        <v>510990.00000000012</v>
      </c>
      <c r="Q7" s="37">
        <f>'All Cash'!$H$31</f>
        <v>3.5000000000000003E-2</v>
      </c>
      <c r="R7" s="38">
        <f>'All Cash'!$D$24</f>
        <v>505990</v>
      </c>
      <c r="S7" s="38">
        <v>0</v>
      </c>
      <c r="T7" s="39">
        <f t="shared" ref="T7:T36" si="3">$R$7*(1+Q7)^M7-$R$7</f>
        <v>17709.649999999965</v>
      </c>
      <c r="U7" s="39">
        <v>0</v>
      </c>
      <c r="V7" s="39">
        <f>(R7+T7)*'All Cash'!$H$35</f>
        <v>36658.9755</v>
      </c>
      <c r="W7" s="36">
        <f>'All Cash'!$I$27*'All Cash'!$M7</f>
        <v>24999.619025526667</v>
      </c>
      <c r="X7" s="34">
        <f t="shared" ref="X7:X36" si="4">$I$28</f>
        <v>27555.619025526667</v>
      </c>
      <c r="Y7" s="80">
        <f t="shared" ref="Y7:Y36" si="5">IF($H$32=$M7,R7+T7-V7,0)</f>
        <v>0</v>
      </c>
      <c r="Z7" s="70">
        <f t="shared" si="0"/>
        <v>27555.619025526667</v>
      </c>
    </row>
    <row r="8" spans="1:26" ht="14.25" customHeight="1" x14ac:dyDescent="0.25">
      <c r="A8" s="10"/>
      <c r="B8" s="43"/>
      <c r="C8" s="43"/>
      <c r="D8" s="44"/>
      <c r="E8" s="45"/>
      <c r="F8" s="43"/>
      <c r="G8" s="43"/>
      <c r="H8" s="43"/>
      <c r="I8" s="43"/>
      <c r="M8" s="30">
        <v>2</v>
      </c>
      <c r="N8" s="34">
        <f t="shared" si="1"/>
        <v>48096.336158553226</v>
      </c>
      <c r="O8" s="35">
        <f t="shared" si="2"/>
        <v>4.7061915261113932E-2</v>
      </c>
      <c r="P8" s="36">
        <f>'All Cash'!$D$38</f>
        <v>510990.00000000012</v>
      </c>
      <c r="Q8" s="37">
        <f>'All Cash'!$H$31</f>
        <v>3.5000000000000003E-2</v>
      </c>
      <c r="R8" s="38">
        <f>'All Cash'!$D$24</f>
        <v>505990</v>
      </c>
      <c r="S8" s="38">
        <v>0</v>
      </c>
      <c r="T8" s="39">
        <f t="shared" si="3"/>
        <v>36039.137749999878</v>
      </c>
      <c r="U8" s="39">
        <v>0</v>
      </c>
      <c r="V8" s="39">
        <f>(R8+T8)*'All Cash'!$H$35</f>
        <v>37942.039642499993</v>
      </c>
      <c r="W8" s="36">
        <f>'All Cash'!$I$27*'All Cash'!$M8</f>
        <v>49999.238051053333</v>
      </c>
      <c r="X8" s="34">
        <f t="shared" si="4"/>
        <v>27555.619025526667</v>
      </c>
      <c r="Y8" s="80">
        <f t="shared" si="5"/>
        <v>0</v>
      </c>
      <c r="Z8" s="70">
        <f t="shared" si="0"/>
        <v>27555.619025526667</v>
      </c>
    </row>
    <row r="9" spans="1:26" ht="14.25" customHeight="1" x14ac:dyDescent="0.25">
      <c r="A9" s="10"/>
      <c r="B9" s="43"/>
      <c r="C9" s="43"/>
      <c r="D9" s="44"/>
      <c r="E9" s="45"/>
      <c r="F9" s="43"/>
      <c r="G9" s="43"/>
      <c r="H9" s="43"/>
      <c r="I9" s="43"/>
      <c r="M9" s="30">
        <v>3</v>
      </c>
      <c r="N9" s="34">
        <f t="shared" si="1"/>
        <v>90739.003617842376</v>
      </c>
      <c r="O9" s="35">
        <f t="shared" si="2"/>
        <v>5.919163689951034E-2</v>
      </c>
      <c r="P9" s="36">
        <f>'All Cash'!$D$38</f>
        <v>510990.00000000012</v>
      </c>
      <c r="Q9" s="37">
        <f>'All Cash'!$H$31</f>
        <v>3.5000000000000003E-2</v>
      </c>
      <c r="R9" s="38">
        <f>'All Cash'!$D$24</f>
        <v>505990</v>
      </c>
      <c r="S9" s="38">
        <v>0</v>
      </c>
      <c r="T9" s="39">
        <f t="shared" si="3"/>
        <v>55010.157571249874</v>
      </c>
      <c r="U9" s="39">
        <v>0</v>
      </c>
      <c r="V9" s="39">
        <f>(R9+T9)*'All Cash'!$H$35</f>
        <v>39270.011029987494</v>
      </c>
      <c r="W9" s="36">
        <f>'All Cash'!$I$27*'All Cash'!$M9</f>
        <v>74998.857076579996</v>
      </c>
      <c r="X9" s="34">
        <f t="shared" si="4"/>
        <v>27555.619025526667</v>
      </c>
      <c r="Y9" s="80">
        <f t="shared" si="5"/>
        <v>0</v>
      </c>
      <c r="Z9" s="70">
        <f t="shared" si="0"/>
        <v>27555.619025526667</v>
      </c>
    </row>
    <row r="10" spans="1:26" ht="14.25" customHeight="1" x14ac:dyDescent="0.25">
      <c r="A10" s="10"/>
      <c r="B10" s="43"/>
      <c r="C10" s="43"/>
      <c r="D10" s="44"/>
      <c r="E10" s="45"/>
      <c r="F10" s="43"/>
      <c r="G10" s="43"/>
      <c r="H10" s="43"/>
      <c r="I10" s="43"/>
      <c r="M10" s="30">
        <v>4</v>
      </c>
      <c r="N10" s="34">
        <f t="shared" si="1"/>
        <v>133999.17777231318</v>
      </c>
      <c r="O10" s="35">
        <f t="shared" si="2"/>
        <v>6.555861062462727E-2</v>
      </c>
      <c r="P10" s="36">
        <f>'All Cash'!$D$38</f>
        <v>510990.00000000012</v>
      </c>
      <c r="Q10" s="37">
        <f>'All Cash'!$H$31</f>
        <v>3.5000000000000003E-2</v>
      </c>
      <c r="R10" s="38">
        <f>'All Cash'!$D$24</f>
        <v>505990</v>
      </c>
      <c r="S10" s="38">
        <v>0</v>
      </c>
      <c r="T10" s="39">
        <f t="shared" si="3"/>
        <v>74645.163086243556</v>
      </c>
      <c r="U10" s="39">
        <v>0</v>
      </c>
      <c r="V10" s="39">
        <f>(R10+T10)*'All Cash'!$H$35</f>
        <v>40644.461416037055</v>
      </c>
      <c r="W10" s="36">
        <f>'All Cash'!$I$27*'All Cash'!$M10</f>
        <v>99998.476102106666</v>
      </c>
      <c r="X10" s="34">
        <f t="shared" si="4"/>
        <v>27555.619025526667</v>
      </c>
      <c r="Y10" s="80">
        <f t="shared" si="5"/>
        <v>0</v>
      </c>
      <c r="Z10" s="70">
        <f t="shared" si="0"/>
        <v>27555.619025526667</v>
      </c>
    </row>
    <row r="11" spans="1:26" ht="14.25" customHeight="1" x14ac:dyDescent="0.25">
      <c r="A11" s="10"/>
      <c r="B11" s="43"/>
      <c r="C11" s="43"/>
      <c r="D11" s="44"/>
      <c r="E11" s="45"/>
      <c r="F11" s="43"/>
      <c r="G11" s="43"/>
      <c r="H11" s="43"/>
      <c r="I11" s="43"/>
      <c r="M11" s="30">
        <v>5</v>
      </c>
      <c r="N11" s="34">
        <f t="shared" si="1"/>
        <v>177898.47135629709</v>
      </c>
      <c r="O11" s="35">
        <f t="shared" si="2"/>
        <v>6.9628944345798166E-2</v>
      </c>
      <c r="P11" s="36">
        <f>'All Cash'!$D$38</f>
        <v>510990.00000000012</v>
      </c>
      <c r="Q11" s="37">
        <f>'All Cash'!$H$31</f>
        <v>3.5000000000000003E-2</v>
      </c>
      <c r="R11" s="38">
        <f>'All Cash'!$D$24</f>
        <v>505990</v>
      </c>
      <c r="S11" s="38">
        <v>0</v>
      </c>
      <c r="T11" s="39">
        <f t="shared" si="3"/>
        <v>94967.393794262083</v>
      </c>
      <c r="U11" s="39">
        <v>0</v>
      </c>
      <c r="V11" s="39">
        <f>(R11+T11)*'All Cash'!$H$35</f>
        <v>42067.017565598348</v>
      </c>
      <c r="W11" s="36">
        <f>'All Cash'!$I$27*'All Cash'!$M11</f>
        <v>124998.09512763334</v>
      </c>
      <c r="X11" s="34">
        <f t="shared" si="4"/>
        <v>27555.619025526667</v>
      </c>
      <c r="Y11" s="80">
        <f t="shared" si="5"/>
        <v>0</v>
      </c>
      <c r="Z11" s="70">
        <f t="shared" si="0"/>
        <v>27555.619025526667</v>
      </c>
    </row>
    <row r="12" spans="1:26" ht="14.25" customHeight="1" x14ac:dyDescent="0.25">
      <c r="A12" s="10"/>
      <c r="B12" s="43"/>
      <c r="C12" s="43"/>
      <c r="D12" s="44"/>
      <c r="E12" s="45"/>
      <c r="F12" s="43"/>
      <c r="G12" s="43"/>
      <c r="H12" s="43"/>
      <c r="I12" s="43"/>
      <c r="M12" s="30">
        <v>6</v>
      </c>
      <c r="N12" s="34">
        <f t="shared" si="1"/>
        <v>222459.25354982691</v>
      </c>
      <c r="O12" s="35">
        <f t="shared" si="2"/>
        <v>7.2558254091673963E-2</v>
      </c>
      <c r="P12" s="36">
        <f>'All Cash'!$D$38</f>
        <v>510990.00000000012</v>
      </c>
      <c r="Q12" s="37">
        <f>'All Cash'!$H$31</f>
        <v>3.5000000000000003E-2</v>
      </c>
      <c r="R12" s="38">
        <f>'All Cash'!$D$24</f>
        <v>505990</v>
      </c>
      <c r="S12" s="38">
        <v>0</v>
      </c>
      <c r="T12" s="39">
        <f t="shared" si="3"/>
        <v>116000.90257706121</v>
      </c>
      <c r="U12" s="39">
        <v>0</v>
      </c>
      <c r="V12" s="39">
        <f>(R12+T12)*'All Cash'!$H$35</f>
        <v>43539.363180394292</v>
      </c>
      <c r="W12" s="36">
        <f>'All Cash'!$I$27*'All Cash'!$M12</f>
        <v>149997.71415315999</v>
      </c>
      <c r="X12" s="34">
        <f t="shared" si="4"/>
        <v>27555.619025526667</v>
      </c>
      <c r="Y12" s="80">
        <f t="shared" si="5"/>
        <v>0</v>
      </c>
      <c r="Z12" s="70">
        <f t="shared" si="0"/>
        <v>27555.619025526667</v>
      </c>
    </row>
    <row r="13" spans="1:26" ht="14.25" customHeight="1" x14ac:dyDescent="0.25">
      <c r="A13" s="10"/>
      <c r="B13" s="43"/>
      <c r="C13" s="43"/>
      <c r="D13" s="44"/>
      <c r="E13" s="45"/>
      <c r="F13" s="43"/>
      <c r="G13" s="43"/>
      <c r="H13" s="43"/>
      <c r="I13" s="43"/>
      <c r="M13" s="30">
        <v>7</v>
      </c>
      <c r="N13" s="34">
        <f t="shared" si="1"/>
        <v>267704.67645423696</v>
      </c>
      <c r="O13" s="35">
        <f t="shared" si="2"/>
        <v>7.4842022755334012E-2</v>
      </c>
      <c r="P13" s="36">
        <f>'All Cash'!$D$38</f>
        <v>510990.00000000012</v>
      </c>
      <c r="Q13" s="37">
        <f>'All Cash'!$H$31</f>
        <v>3.5000000000000003E-2</v>
      </c>
      <c r="R13" s="38">
        <f>'All Cash'!$D$24</f>
        <v>505990</v>
      </c>
      <c r="S13" s="38">
        <v>0</v>
      </c>
      <c r="T13" s="39">
        <f t="shared" si="3"/>
        <v>137770.58416725835</v>
      </c>
      <c r="U13" s="39">
        <v>0</v>
      </c>
      <c r="V13" s="39">
        <f>(R13+T13)*'All Cash'!$H$35</f>
        <v>45063.24089170809</v>
      </c>
      <c r="W13" s="36">
        <f>'All Cash'!$I$27*'All Cash'!$M13</f>
        <v>174997.33317868668</v>
      </c>
      <c r="X13" s="34">
        <f t="shared" si="4"/>
        <v>27555.619025526667</v>
      </c>
      <c r="Y13" s="80">
        <f t="shared" si="5"/>
        <v>0</v>
      </c>
      <c r="Z13" s="70">
        <f t="shared" si="0"/>
        <v>27555.619025526667</v>
      </c>
    </row>
    <row r="14" spans="1:26" ht="14.25" customHeight="1" x14ac:dyDescent="0.25">
      <c r="A14" s="10"/>
      <c r="B14" s="43"/>
      <c r="C14" s="43"/>
      <c r="D14" s="44"/>
      <c r="E14" s="45"/>
      <c r="F14" s="43"/>
      <c r="G14" s="43"/>
      <c r="H14" s="43"/>
      <c r="I14" s="43"/>
      <c r="M14" s="30">
        <v>8</v>
      </c>
      <c r="N14" s="34">
        <f t="shared" si="1"/>
        <v>313658.70249440777</v>
      </c>
      <c r="O14" s="35">
        <f t="shared" si="2"/>
        <v>7.6728190007242736E-2</v>
      </c>
      <c r="P14" s="36">
        <f>'All Cash'!$D$38</f>
        <v>510990.00000000012</v>
      </c>
      <c r="Q14" s="37">
        <f>'All Cash'!$H$31</f>
        <v>3.5000000000000003E-2</v>
      </c>
      <c r="R14" s="38">
        <f>'All Cash'!$D$24</f>
        <v>505990</v>
      </c>
      <c r="S14" s="38">
        <v>0</v>
      </c>
      <c r="T14" s="39">
        <f t="shared" si="3"/>
        <v>160302.20461311226</v>
      </c>
      <c r="U14" s="39">
        <v>0</v>
      </c>
      <c r="V14" s="39">
        <f>(R14+T14)*'All Cash'!$H$35</f>
        <v>46640.45432291786</v>
      </c>
      <c r="W14" s="36">
        <f>'All Cash'!$I$27*'All Cash'!$M14</f>
        <v>199996.95220421333</v>
      </c>
      <c r="X14" s="34">
        <f t="shared" si="4"/>
        <v>27555.619025526667</v>
      </c>
      <c r="Y14" s="80">
        <f t="shared" si="5"/>
        <v>0</v>
      </c>
      <c r="Z14" s="70">
        <f t="shared" si="0"/>
        <v>27555.619025526667</v>
      </c>
    </row>
    <row r="15" spans="1:26" ht="14.25" customHeight="1" x14ac:dyDescent="0.25">
      <c r="A15" s="10"/>
      <c r="B15" s="43"/>
      <c r="C15" s="43"/>
      <c r="D15" s="44"/>
      <c r="E15" s="45"/>
      <c r="F15" s="43"/>
      <c r="G15" s="43"/>
      <c r="H15" s="43"/>
      <c r="I15" s="43"/>
      <c r="M15" s="30">
        <v>9</v>
      </c>
      <c r="N15" s="34">
        <f t="shared" si="1"/>
        <v>360346.13278009108</v>
      </c>
      <c r="O15" s="35">
        <f t="shared" si="2"/>
        <v>7.8354682474780113E-2</v>
      </c>
      <c r="P15" s="36">
        <f>'All Cash'!$D$38</f>
        <v>510990.00000000012</v>
      </c>
      <c r="Q15" s="37">
        <f>'All Cash'!$H$31</f>
        <v>3.5000000000000003E-2</v>
      </c>
      <c r="R15" s="38">
        <f>'All Cash'!$D$24</f>
        <v>505990</v>
      </c>
      <c r="S15" s="38">
        <v>0</v>
      </c>
      <c r="T15" s="39">
        <f t="shared" si="3"/>
        <v>183622.43177457107</v>
      </c>
      <c r="U15" s="39">
        <v>0</v>
      </c>
      <c r="V15" s="39">
        <f>(R15+T15)*'All Cash'!$H$35</f>
        <v>48272.87022421998</v>
      </c>
      <c r="W15" s="36">
        <f>'All Cash'!$I$27*'All Cash'!$M15</f>
        <v>224996.57122973999</v>
      </c>
      <c r="X15" s="34">
        <f t="shared" si="4"/>
        <v>27555.619025526667</v>
      </c>
      <c r="Y15" s="80">
        <f t="shared" si="5"/>
        <v>0</v>
      </c>
      <c r="Z15" s="70">
        <f t="shared" si="0"/>
        <v>27555.619025526667</v>
      </c>
    </row>
    <row r="16" spans="1:26" ht="14.25" customHeight="1" x14ac:dyDescent="0.25">
      <c r="A16" s="10"/>
      <c r="B16" s="43"/>
      <c r="C16" s="43"/>
      <c r="D16" s="44"/>
      <c r="E16" s="45"/>
      <c r="F16" s="43"/>
      <c r="G16" s="43"/>
      <c r="H16" s="43"/>
      <c r="I16" s="43"/>
      <c r="M16" s="30">
        <v>10</v>
      </c>
      <c r="N16" s="34">
        <f t="shared" si="1"/>
        <v>407792.63645988004</v>
      </c>
      <c r="O16" s="35">
        <f t="shared" si="2"/>
        <v>7.9804426008313264E-2</v>
      </c>
      <c r="P16" s="36">
        <f>'All Cash'!$D$38</f>
        <v>510990.00000000012</v>
      </c>
      <c r="Q16" s="37">
        <f>'All Cash'!$H$31</f>
        <v>3.5000000000000003E-2</v>
      </c>
      <c r="R16" s="38">
        <f>'All Cash'!$D$24</f>
        <v>505990</v>
      </c>
      <c r="S16" s="38">
        <v>0</v>
      </c>
      <c r="T16" s="39">
        <f t="shared" si="3"/>
        <v>207758.86688668106</v>
      </c>
      <c r="U16" s="39">
        <v>0</v>
      </c>
      <c r="V16" s="39">
        <f>(R16+T16)*'All Cash'!$H$35</f>
        <v>49962.420682067677</v>
      </c>
      <c r="W16" s="36">
        <f>'All Cash'!$I$27*'All Cash'!$M16</f>
        <v>249996.19025526667</v>
      </c>
      <c r="X16" s="34">
        <f t="shared" si="4"/>
        <v>27555.619025526667</v>
      </c>
      <c r="Y16" s="80">
        <f t="shared" si="5"/>
        <v>0</v>
      </c>
      <c r="Z16" s="70">
        <f t="shared" si="0"/>
        <v>27555.619025526667</v>
      </c>
    </row>
    <row r="17" spans="1:26" ht="14.25" customHeight="1" x14ac:dyDescent="0.25">
      <c r="A17" s="10"/>
      <c r="B17" s="43"/>
      <c r="C17" s="43"/>
      <c r="D17" s="44"/>
      <c r="E17" s="45"/>
      <c r="F17" s="43"/>
      <c r="G17" s="43"/>
      <c r="H17" s="43"/>
      <c r="I17" s="43"/>
      <c r="M17" s="30">
        <v>11</v>
      </c>
      <c r="N17" s="34">
        <f t="shared" si="1"/>
        <v>456024.78110256814</v>
      </c>
      <c r="O17" s="35">
        <f t="shared" si="2"/>
        <v>8.1130351439463871E-2</v>
      </c>
      <c r="P17" s="36">
        <f>'All Cash'!$D$38</f>
        <v>510990.00000000012</v>
      </c>
      <c r="Q17" s="37">
        <f>'All Cash'!$H$31</f>
        <v>3.5000000000000003E-2</v>
      </c>
      <c r="R17" s="38">
        <f>'All Cash'!$D$24</f>
        <v>505990</v>
      </c>
      <c r="S17" s="38">
        <v>0</v>
      </c>
      <c r="T17" s="39">
        <f t="shared" si="3"/>
        <v>232740.07722771482</v>
      </c>
      <c r="U17" s="39">
        <v>0</v>
      </c>
      <c r="V17" s="39">
        <f>(R17+T17)*'All Cash'!$H$35</f>
        <v>51711.105405940041</v>
      </c>
      <c r="W17" s="36">
        <f>'All Cash'!$I$27*'All Cash'!$M17</f>
        <v>274995.80928079336</v>
      </c>
      <c r="X17" s="34">
        <f t="shared" si="4"/>
        <v>27555.619025526667</v>
      </c>
      <c r="Y17" s="80">
        <f t="shared" si="5"/>
        <v>0</v>
      </c>
      <c r="Z17" s="70">
        <f t="shared" si="0"/>
        <v>27555.619025526667</v>
      </c>
    </row>
    <row r="18" spans="1:26" ht="14.25" customHeight="1" x14ac:dyDescent="0.25">
      <c r="A18" s="10"/>
      <c r="B18" s="43"/>
      <c r="C18" s="43"/>
      <c r="D18" s="44"/>
      <c r="E18" s="45"/>
      <c r="F18" s="43"/>
      <c r="G18" s="43"/>
      <c r="H18" s="43"/>
      <c r="I18" s="43"/>
      <c r="M18" s="30">
        <v>12</v>
      </c>
      <c r="N18" s="34">
        <f t="shared" si="1"/>
        <v>505070.06414185686</v>
      </c>
      <c r="O18" s="35">
        <f t="shared" si="2"/>
        <v>8.2367897633655054E-2</v>
      </c>
      <c r="P18" s="36">
        <f>'All Cash'!$D$38</f>
        <v>510990.00000000012</v>
      </c>
      <c r="Q18" s="37">
        <f>'All Cash'!$H$31</f>
        <v>3.5000000000000003E-2</v>
      </c>
      <c r="R18" s="38">
        <f>'All Cash'!$D$24</f>
        <v>505990</v>
      </c>
      <c r="S18" s="38">
        <v>0</v>
      </c>
      <c r="T18" s="39">
        <f t="shared" si="3"/>
        <v>258595.62993068481</v>
      </c>
      <c r="U18" s="39">
        <v>0</v>
      </c>
      <c r="V18" s="39">
        <f>(R18+T18)*'All Cash'!$H$35</f>
        <v>53520.994095147944</v>
      </c>
      <c r="W18" s="36">
        <f>'All Cash'!$I$27*'All Cash'!$M18</f>
        <v>299995.42830631998</v>
      </c>
      <c r="X18" s="34">
        <f t="shared" si="4"/>
        <v>27555.619025526667</v>
      </c>
      <c r="Y18" s="80">
        <f t="shared" si="5"/>
        <v>0</v>
      </c>
      <c r="Z18" s="70">
        <f t="shared" si="0"/>
        <v>27555.619025526667</v>
      </c>
    </row>
    <row r="19" spans="1:26" ht="14.25" customHeight="1" x14ac:dyDescent="0.25">
      <c r="A19" s="10"/>
      <c r="B19" s="43"/>
      <c r="C19" s="43"/>
      <c r="D19" s="44"/>
      <c r="E19" s="45"/>
      <c r="F19" s="43"/>
      <c r="G19" s="43"/>
      <c r="H19" s="43"/>
      <c r="I19" s="43"/>
      <c r="M19" s="30">
        <v>13</v>
      </c>
      <c r="N19" s="34">
        <f t="shared" si="1"/>
        <v>554956.94542162714</v>
      </c>
      <c r="O19" s="35">
        <f t="shared" si="2"/>
        <v>8.3541744068697271E-2</v>
      </c>
      <c r="P19" s="36">
        <f>'All Cash'!$D$38</f>
        <v>510990.00000000012</v>
      </c>
      <c r="Q19" s="37">
        <f>'All Cash'!$H$31</f>
        <v>3.5000000000000003E-2</v>
      </c>
      <c r="R19" s="38">
        <f>'All Cash'!$D$24</f>
        <v>505990</v>
      </c>
      <c r="S19" s="38">
        <v>0</v>
      </c>
      <c r="T19" s="39">
        <f t="shared" si="3"/>
        <v>285356.1269782586</v>
      </c>
      <c r="U19" s="39">
        <v>0</v>
      </c>
      <c r="V19" s="39">
        <f>(R19+T19)*'All Cash'!$H$35</f>
        <v>55394.228888478108</v>
      </c>
      <c r="W19" s="36">
        <f>'All Cash'!$I$27*'All Cash'!$M19</f>
        <v>324995.04733184667</v>
      </c>
      <c r="X19" s="34">
        <f t="shared" si="4"/>
        <v>27555.619025526667</v>
      </c>
      <c r="Y19" s="80">
        <f t="shared" si="5"/>
        <v>0</v>
      </c>
      <c r="Z19" s="70">
        <f t="shared" si="0"/>
        <v>27555.619025526667</v>
      </c>
    </row>
    <row r="20" spans="1:26" ht="14.25" customHeight="1" x14ac:dyDescent="0.25">
      <c r="A20" s="10"/>
      <c r="B20" s="43"/>
      <c r="C20" s="43"/>
      <c r="D20" s="44"/>
      <c r="E20" s="45"/>
      <c r="F20" s="43"/>
      <c r="G20" s="43"/>
      <c r="H20" s="43"/>
      <c r="I20" s="43"/>
      <c r="M20" s="30">
        <v>14</v>
      </c>
      <c r="N20" s="34">
        <f t="shared" si="1"/>
        <v>605714.88088029623</v>
      </c>
      <c r="O20" s="35">
        <f t="shared" si="2"/>
        <v>8.4669658181778254E-2</v>
      </c>
      <c r="P20" s="36">
        <f>'All Cash'!$D$38</f>
        <v>510990.00000000012</v>
      </c>
      <c r="Q20" s="37">
        <f>'All Cash'!$H$31</f>
        <v>3.5000000000000003E-2</v>
      </c>
      <c r="R20" s="38">
        <f>'All Cash'!$D$24</f>
        <v>505990</v>
      </c>
      <c r="S20" s="38">
        <v>0</v>
      </c>
      <c r="T20" s="39">
        <f t="shared" si="3"/>
        <v>313053.24142249778</v>
      </c>
      <c r="U20" s="39">
        <v>0</v>
      </c>
      <c r="V20" s="39">
        <f>(R20+T20)*'All Cash'!$H$35</f>
        <v>57333.026899574848</v>
      </c>
      <c r="W20" s="36">
        <f>'All Cash'!$I$27*'All Cash'!$M20</f>
        <v>349994.66635737335</v>
      </c>
      <c r="X20" s="34">
        <f t="shared" si="4"/>
        <v>27555.619025526667</v>
      </c>
      <c r="Y20" s="80">
        <f t="shared" si="5"/>
        <v>0</v>
      </c>
      <c r="Z20" s="70">
        <f t="shared" si="0"/>
        <v>27555.619025526667</v>
      </c>
    </row>
    <row r="21" spans="1:26" ht="14.25" customHeight="1" x14ac:dyDescent="0.25">
      <c r="A21" s="10"/>
      <c r="B21" s="43"/>
      <c r="C21" s="43"/>
      <c r="D21" s="44"/>
      <c r="E21" s="45"/>
      <c r="F21" s="43"/>
      <c r="G21" s="43"/>
      <c r="H21" s="43"/>
      <c r="I21" s="43"/>
      <c r="M21" s="40">
        <v>15</v>
      </c>
      <c r="N21" s="34">
        <f t="shared" si="1"/>
        <v>657374.357414125</v>
      </c>
      <c r="O21" s="35">
        <f t="shared" si="2"/>
        <v>8.576480393146961E-2</v>
      </c>
      <c r="P21" s="36">
        <f>'All Cash'!$D$38</f>
        <v>510990.00000000012</v>
      </c>
      <c r="Q21" s="37">
        <f>'All Cash'!$H$31</f>
        <v>3.5000000000000003E-2</v>
      </c>
      <c r="R21" s="38">
        <f>'All Cash'!$D$24</f>
        <v>505990</v>
      </c>
      <c r="S21" s="38">
        <v>0</v>
      </c>
      <c r="T21" s="41">
        <f t="shared" si="3"/>
        <v>341719.75487228506</v>
      </c>
      <c r="U21" s="39">
        <v>0</v>
      </c>
      <c r="V21" s="39">
        <f>(R21+T21)*'All Cash'!$H$35</f>
        <v>59339.682841059963</v>
      </c>
      <c r="W21" s="36">
        <f>'All Cash'!$I$27*'All Cash'!$M21</f>
        <v>374994.28538289998</v>
      </c>
      <c r="X21" s="34">
        <f t="shared" si="4"/>
        <v>27555.619025526667</v>
      </c>
      <c r="Y21" s="80">
        <f t="shared" si="5"/>
        <v>788370.07203122508</v>
      </c>
      <c r="Z21" s="70">
        <f t="shared" si="0"/>
        <v>815925.69105675176</v>
      </c>
    </row>
    <row r="22" spans="1:26" ht="14.25" customHeight="1" x14ac:dyDescent="0.25">
      <c r="A22" s="10"/>
      <c r="B22" s="43"/>
      <c r="C22" s="43"/>
      <c r="D22" s="44"/>
      <c r="E22" s="45"/>
      <c r="F22" s="43"/>
      <c r="G22" s="43"/>
      <c r="H22" s="43"/>
      <c r="I22" s="43"/>
      <c r="M22" s="30">
        <v>16</v>
      </c>
      <c r="N22" s="34">
        <f t="shared" si="1"/>
        <v>709966.92896074464</v>
      </c>
      <c r="O22" s="35">
        <f t="shared" si="2"/>
        <v>8.6837184798228009E-2</v>
      </c>
      <c r="P22" s="36">
        <f>'All Cash'!$D$38</f>
        <v>510990.00000000012</v>
      </c>
      <c r="Q22" s="37">
        <f>'All Cash'!$H$31</f>
        <v>3.5000000000000003E-2</v>
      </c>
      <c r="R22" s="38">
        <f>'All Cash'!$D$24</f>
        <v>505990</v>
      </c>
      <c r="S22" s="38">
        <v>0</v>
      </c>
      <c r="T22" s="39">
        <f t="shared" si="3"/>
        <v>371389.59629281494</v>
      </c>
      <c r="U22" s="39">
        <v>0</v>
      </c>
      <c r="V22" s="39">
        <f>(R22+T22)*'All Cash'!$H$35</f>
        <v>61416.571740497049</v>
      </c>
      <c r="W22" s="36">
        <f>'All Cash'!$I$27*'All Cash'!$M22</f>
        <v>399993.90440842666</v>
      </c>
      <c r="X22" s="34">
        <f t="shared" si="4"/>
        <v>27555.619025526667</v>
      </c>
      <c r="Y22" s="80">
        <f t="shared" si="5"/>
        <v>0</v>
      </c>
      <c r="Z22" s="70">
        <f t="shared" si="0"/>
        <v>0</v>
      </c>
    </row>
    <row r="23" spans="1:26" ht="18" x14ac:dyDescent="0.25">
      <c r="A23" s="10"/>
      <c r="B23" s="46" t="s">
        <v>13</v>
      </c>
      <c r="C23" s="46"/>
      <c r="D23" s="47"/>
      <c r="E23" s="48"/>
      <c r="F23" s="49"/>
      <c r="G23" s="46" t="s">
        <v>43</v>
      </c>
      <c r="H23" s="48" t="s">
        <v>46</v>
      </c>
      <c r="I23" s="48" t="s">
        <v>47</v>
      </c>
      <c r="M23" s="30">
        <v>17</v>
      </c>
      <c r="N23" s="34">
        <f t="shared" si="1"/>
        <v>763525.25384560227</v>
      </c>
      <c r="O23" s="35">
        <f t="shared" si="2"/>
        <v>8.7894577635984836E-2</v>
      </c>
      <c r="P23" s="36">
        <f>'All Cash'!$D$38</f>
        <v>510990.00000000012</v>
      </c>
      <c r="Q23" s="37">
        <f>'All Cash'!$H$31</f>
        <v>3.5000000000000003E-2</v>
      </c>
      <c r="R23" s="38">
        <f>'All Cash'!$D$24</f>
        <v>505990</v>
      </c>
      <c r="S23" s="38">
        <v>0</v>
      </c>
      <c r="T23" s="39">
        <f t="shared" si="3"/>
        <v>402097.88216306339</v>
      </c>
      <c r="U23" s="39">
        <v>0</v>
      </c>
      <c r="V23" s="39">
        <f>(R23+T23)*'All Cash'!$H$35</f>
        <v>63566.151751414443</v>
      </c>
      <c r="W23" s="36">
        <f>'All Cash'!$I$27*'All Cash'!$M23</f>
        <v>424993.52343395335</v>
      </c>
      <c r="X23" s="34">
        <f t="shared" si="4"/>
        <v>27555.619025526667</v>
      </c>
      <c r="Y23" s="80">
        <f t="shared" si="5"/>
        <v>0</v>
      </c>
      <c r="Z23" s="70">
        <f t="shared" si="0"/>
        <v>0</v>
      </c>
    </row>
    <row r="24" spans="1:26" x14ac:dyDescent="0.25">
      <c r="A24" s="10"/>
      <c r="B24" s="56" t="s">
        <v>28</v>
      </c>
      <c r="C24" s="56"/>
      <c r="D24" s="61">
        <f>D34</f>
        <v>505990</v>
      </c>
      <c r="E24" s="45"/>
      <c r="F24" s="43"/>
      <c r="G24" s="44" t="s">
        <v>48</v>
      </c>
      <c r="H24" s="50">
        <f>Summary!C11</f>
        <v>1775</v>
      </c>
      <c r="I24" s="53">
        <f>H24*12</f>
        <v>21300</v>
      </c>
      <c r="M24" s="30">
        <v>18</v>
      </c>
      <c r="N24" s="34">
        <f t="shared" si="1"/>
        <v>818083.13343553653</v>
      </c>
      <c r="O24" s="35">
        <f t="shared" si="2"/>
        <v>8.8943155381985772E-2</v>
      </c>
      <c r="P24" s="36">
        <f>'All Cash'!$D$38</f>
        <v>510990.00000000012</v>
      </c>
      <c r="Q24" s="37">
        <f>'All Cash'!$H$31</f>
        <v>3.5000000000000003E-2</v>
      </c>
      <c r="R24" s="38">
        <f>'All Cash'!$D$24</f>
        <v>505990</v>
      </c>
      <c r="S24" s="38">
        <v>0</v>
      </c>
      <c r="T24" s="39">
        <f t="shared" si="3"/>
        <v>433880.95803877048</v>
      </c>
      <c r="U24" s="39">
        <v>0</v>
      </c>
      <c r="V24" s="39">
        <f>(R24+T24)*'All Cash'!$H$35</f>
        <v>65790.967062713942</v>
      </c>
      <c r="W24" s="36">
        <f>'All Cash'!$I$27*'All Cash'!$M24</f>
        <v>449993.14245947998</v>
      </c>
      <c r="X24" s="34">
        <f t="shared" si="4"/>
        <v>27555.619025526667</v>
      </c>
      <c r="Y24" s="80">
        <f t="shared" si="5"/>
        <v>0</v>
      </c>
      <c r="Z24" s="70">
        <f t="shared" si="0"/>
        <v>0</v>
      </c>
    </row>
    <row r="25" spans="1:26" x14ac:dyDescent="0.25">
      <c r="A25" s="10"/>
      <c r="B25" s="56" t="s">
        <v>15</v>
      </c>
      <c r="C25" s="56"/>
      <c r="D25" s="61">
        <f>I25</f>
        <v>42600</v>
      </c>
      <c r="E25" s="45"/>
      <c r="F25" s="43"/>
      <c r="G25" s="44" t="s">
        <v>49</v>
      </c>
      <c r="H25" s="50">
        <f>H24*2</f>
        <v>3550</v>
      </c>
      <c r="I25" s="53">
        <f t="shared" ref="I25" si="6">H25*12</f>
        <v>42600</v>
      </c>
      <c r="M25" s="30">
        <v>19</v>
      </c>
      <c r="N25" s="34">
        <f t="shared" si="1"/>
        <v>873675.55214522511</v>
      </c>
      <c r="O25" s="35">
        <f t="shared" si="2"/>
        <v>8.998791326076265E-2</v>
      </c>
      <c r="P25" s="36">
        <f>'All Cash'!$D$38</f>
        <v>510990.00000000012</v>
      </c>
      <c r="Q25" s="37">
        <f>'All Cash'!$H$31</f>
        <v>3.5000000000000003E-2</v>
      </c>
      <c r="R25" s="38">
        <f>'All Cash'!$D$24</f>
        <v>505990</v>
      </c>
      <c r="S25" s="38">
        <v>0</v>
      </c>
      <c r="T25" s="39">
        <f t="shared" si="3"/>
        <v>466776.44157012738</v>
      </c>
      <c r="U25" s="39">
        <v>0</v>
      </c>
      <c r="V25" s="39">
        <f>(R25+T25)*'All Cash'!$H$35</f>
        <v>68093.650909908916</v>
      </c>
      <c r="W25" s="36">
        <f>'All Cash'!$I$27*'All Cash'!$M25</f>
        <v>474992.76148500666</v>
      </c>
      <c r="X25" s="34">
        <f t="shared" si="4"/>
        <v>27555.619025526667</v>
      </c>
      <c r="Y25" s="80">
        <f t="shared" si="5"/>
        <v>0</v>
      </c>
      <c r="Z25" s="70">
        <f t="shared" si="0"/>
        <v>0</v>
      </c>
    </row>
    <row r="26" spans="1:26" x14ac:dyDescent="0.25">
      <c r="A26" s="10"/>
      <c r="B26" s="56" t="s">
        <v>38</v>
      </c>
      <c r="C26" s="56"/>
      <c r="D26" s="61">
        <f>D38</f>
        <v>510990.00000000012</v>
      </c>
      <c r="E26" s="45"/>
      <c r="F26" s="43"/>
      <c r="G26" s="44" t="s">
        <v>50</v>
      </c>
      <c r="H26" s="50">
        <f>D47</f>
        <v>1466.6984145394445</v>
      </c>
      <c r="I26" s="50">
        <f>E47</f>
        <v>17600.380974473333</v>
      </c>
      <c r="M26" s="30">
        <v>20</v>
      </c>
      <c r="N26" s="34">
        <f t="shared" si="1"/>
        <v>930338.71884385939</v>
      </c>
      <c r="O26" s="35">
        <f t="shared" si="2"/>
        <v>9.1032967263924847E-2</v>
      </c>
      <c r="P26" s="36">
        <f>'All Cash'!$D$38</f>
        <v>510990.00000000012</v>
      </c>
      <c r="Q26" s="37">
        <f>'All Cash'!$H$31</f>
        <v>3.5000000000000003E-2</v>
      </c>
      <c r="R26" s="38">
        <f>'All Cash'!$D$24</f>
        <v>505990</v>
      </c>
      <c r="S26" s="38">
        <v>0</v>
      </c>
      <c r="T26" s="39">
        <f t="shared" si="3"/>
        <v>500823.26702508179</v>
      </c>
      <c r="U26" s="39">
        <v>0</v>
      </c>
      <c r="V26" s="39">
        <f>(R26+T26)*'All Cash'!$H$35</f>
        <v>70476.928691755733</v>
      </c>
      <c r="W26" s="36">
        <f>'All Cash'!$I$27*'All Cash'!$M26</f>
        <v>499992.38051053334</v>
      </c>
      <c r="X26" s="34">
        <f t="shared" si="4"/>
        <v>27555.619025526667</v>
      </c>
      <c r="Y26" s="80">
        <f t="shared" si="5"/>
        <v>0</v>
      </c>
      <c r="Z26" s="70">
        <f t="shared" si="0"/>
        <v>0</v>
      </c>
    </row>
    <row r="27" spans="1:26" x14ac:dyDescent="0.25">
      <c r="A27" s="10"/>
      <c r="B27" s="56" t="s">
        <v>51</v>
      </c>
      <c r="C27" s="56"/>
      <c r="D27" s="61">
        <f>H27</f>
        <v>2083.3015854605555</v>
      </c>
      <c r="E27" s="45"/>
      <c r="F27" s="43"/>
      <c r="G27" s="56" t="s">
        <v>52</v>
      </c>
      <c r="H27" s="58">
        <f>H25-H26</f>
        <v>2083.3015854605555</v>
      </c>
      <c r="I27" s="59">
        <f>H27*12</f>
        <v>24999.619025526667</v>
      </c>
      <c r="M27" s="30">
        <v>21</v>
      </c>
      <c r="N27" s="34">
        <f t="shared" si="1"/>
        <v>988110.10971105227</v>
      </c>
      <c r="O27" s="35">
        <f t="shared" si="2"/>
        <v>9.2081767485064192E-2</v>
      </c>
      <c r="P27" s="36">
        <f>'All Cash'!$D$38</f>
        <v>510990.00000000012</v>
      </c>
      <c r="Q27" s="37">
        <f>'All Cash'!$H$31</f>
        <v>3.5000000000000003E-2</v>
      </c>
      <c r="R27" s="38">
        <f>'All Cash'!$D$24</f>
        <v>505990</v>
      </c>
      <c r="S27" s="38">
        <v>0</v>
      </c>
      <c r="T27" s="39">
        <f t="shared" si="3"/>
        <v>536061.73137095943</v>
      </c>
      <c r="U27" s="39">
        <v>0</v>
      </c>
      <c r="V27" s="39">
        <f>(R27+T27)*'All Cash'!$H$35</f>
        <v>72943.621195967164</v>
      </c>
      <c r="W27" s="36">
        <f>'All Cash'!$I$27*'All Cash'!$M27</f>
        <v>524991.99953606003</v>
      </c>
      <c r="X27" s="34">
        <f t="shared" si="4"/>
        <v>27555.619025526667</v>
      </c>
      <c r="Y27" s="80">
        <f t="shared" si="5"/>
        <v>0</v>
      </c>
      <c r="Z27" s="70">
        <f t="shared" si="0"/>
        <v>0</v>
      </c>
    </row>
    <row r="28" spans="1:26" x14ac:dyDescent="0.25">
      <c r="A28" s="10"/>
      <c r="B28" s="56" t="s">
        <v>53</v>
      </c>
      <c r="C28" s="56"/>
      <c r="D28" s="61">
        <f>H28</f>
        <v>2296.3015854605555</v>
      </c>
      <c r="E28" s="45"/>
      <c r="F28" s="43"/>
      <c r="G28" s="56" t="s">
        <v>54</v>
      </c>
      <c r="H28" s="58">
        <f>H25-H26+D45+D46</f>
        <v>2296.3015854605555</v>
      </c>
      <c r="I28" s="59">
        <f>H28*12</f>
        <v>27555.619025526667</v>
      </c>
      <c r="M28" s="30">
        <v>22</v>
      </c>
      <c r="N28" s="34">
        <f t="shared" si="1"/>
        <v>1047028.5125927039</v>
      </c>
      <c r="O28" s="35">
        <f t="shared" si="2"/>
        <v>9.3137253405839976E-2</v>
      </c>
      <c r="P28" s="36">
        <f>'All Cash'!$D$38</f>
        <v>510990.00000000012</v>
      </c>
      <c r="Q28" s="37">
        <f>'All Cash'!$H$31</f>
        <v>3.5000000000000003E-2</v>
      </c>
      <c r="R28" s="38">
        <f>'All Cash'!$D$24</f>
        <v>505990</v>
      </c>
      <c r="S28" s="38">
        <v>0</v>
      </c>
      <c r="T28" s="39">
        <f t="shared" si="3"/>
        <v>572533.54196894309</v>
      </c>
      <c r="U28" s="39">
        <v>0</v>
      </c>
      <c r="V28" s="39">
        <f>(R28+T28)*'All Cash'!$H$35</f>
        <v>75496.647937826026</v>
      </c>
      <c r="W28" s="36">
        <f>'All Cash'!$I$27*'All Cash'!$M28</f>
        <v>549991.61856158671</v>
      </c>
      <c r="X28" s="34">
        <f t="shared" si="4"/>
        <v>27555.619025526667</v>
      </c>
      <c r="Y28" s="80">
        <f t="shared" si="5"/>
        <v>0</v>
      </c>
      <c r="Z28" s="70">
        <f t="shared" si="0"/>
        <v>0</v>
      </c>
    </row>
    <row r="29" spans="1:26" x14ac:dyDescent="0.25">
      <c r="A29" s="10"/>
      <c r="B29" s="56" t="s">
        <v>36</v>
      </c>
      <c r="C29" s="56"/>
      <c r="D29" s="61">
        <f>H38</f>
        <v>657374.357414125</v>
      </c>
      <c r="E29" s="45"/>
      <c r="F29" s="43"/>
      <c r="G29" s="10"/>
      <c r="H29" s="10"/>
      <c r="I29" s="10"/>
      <c r="M29" s="30">
        <v>23</v>
      </c>
      <c r="N29" s="34">
        <f t="shared" si="1"/>
        <v>1107134.0729093195</v>
      </c>
      <c r="O29" s="35">
        <f t="shared" si="2"/>
        <v>9.4201968804742992E-2</v>
      </c>
      <c r="P29" s="36">
        <f>'All Cash'!$D$38</f>
        <v>510990.00000000012</v>
      </c>
      <c r="Q29" s="37">
        <f>'All Cash'!$H$31</f>
        <v>3.5000000000000003E-2</v>
      </c>
      <c r="R29" s="38">
        <f>'All Cash'!$D$24</f>
        <v>505990</v>
      </c>
      <c r="S29" s="38">
        <v>0</v>
      </c>
      <c r="T29" s="39">
        <f t="shared" si="3"/>
        <v>610281.86593785603</v>
      </c>
      <c r="U29" s="39">
        <v>0</v>
      </c>
      <c r="V29" s="39">
        <f>(R29+T29)*'All Cash'!$H$35</f>
        <v>78139.030615649928</v>
      </c>
      <c r="W29" s="36">
        <f>'All Cash'!$I$27*'All Cash'!$M29</f>
        <v>574991.23758711328</v>
      </c>
      <c r="X29" s="34">
        <f t="shared" si="4"/>
        <v>27555.619025526667</v>
      </c>
      <c r="Y29" s="80">
        <f t="shared" si="5"/>
        <v>0</v>
      </c>
      <c r="Z29" s="70">
        <f t="shared" si="0"/>
        <v>0</v>
      </c>
    </row>
    <row r="30" spans="1:26" ht="18" x14ac:dyDescent="0.25">
      <c r="A30" s="10"/>
      <c r="B30" s="56" t="s">
        <v>55</v>
      </c>
      <c r="C30" s="56"/>
      <c r="D30" s="57">
        <f>H42</f>
        <v>8.576480393146961E-2</v>
      </c>
      <c r="E30" s="45"/>
      <c r="F30" s="43"/>
      <c r="G30" s="46" t="s">
        <v>37</v>
      </c>
      <c r="H30" s="48"/>
      <c r="I30" s="48"/>
      <c r="M30" s="30">
        <v>24</v>
      </c>
      <c r="N30" s="34">
        <f t="shared" si="1"/>
        <v>1168468.3411711231</v>
      </c>
      <c r="O30" s="35">
        <f t="shared" si="2"/>
        <v>9.5278148069688484E-2</v>
      </c>
      <c r="P30" s="36">
        <f>'All Cash'!$D$38</f>
        <v>510990.00000000012</v>
      </c>
      <c r="Q30" s="37">
        <f>'All Cash'!$H$31</f>
        <v>3.5000000000000003E-2</v>
      </c>
      <c r="R30" s="38">
        <f>'All Cash'!$D$24</f>
        <v>505990</v>
      </c>
      <c r="S30" s="38">
        <v>0</v>
      </c>
      <c r="T30" s="39">
        <f t="shared" si="3"/>
        <v>649351.38124568085</v>
      </c>
      <c r="U30" s="39">
        <v>0</v>
      </c>
      <c r="V30" s="39">
        <f>(R30+T30)*'All Cash'!$H$35</f>
        <v>80873.896687197674</v>
      </c>
      <c r="W30" s="36">
        <f>'All Cash'!$I$27*'All Cash'!$M30</f>
        <v>599990.85661263997</v>
      </c>
      <c r="X30" s="34">
        <f t="shared" si="4"/>
        <v>27555.619025526667</v>
      </c>
      <c r="Y30" s="80">
        <f t="shared" si="5"/>
        <v>0</v>
      </c>
      <c r="Z30" s="70">
        <f t="shared" si="0"/>
        <v>0</v>
      </c>
    </row>
    <row r="31" spans="1:26" x14ac:dyDescent="0.25">
      <c r="A31" s="10"/>
      <c r="B31" s="56" t="s">
        <v>26</v>
      </c>
      <c r="D31" s="57">
        <f>H43</f>
        <v>7.4749678046102552E-2</v>
      </c>
      <c r="F31" s="43"/>
      <c r="G31" s="44" t="s">
        <v>10</v>
      </c>
      <c r="H31" s="62">
        <f>Summary!C12</f>
        <v>3.5000000000000003E-2</v>
      </c>
      <c r="I31" s="45"/>
      <c r="M31" s="30">
        <v>25</v>
      </c>
      <c r="N31" s="34">
        <f t="shared" si="1"/>
        <v>1231074.3221561965</v>
      </c>
      <c r="O31" s="35">
        <f t="shared" si="2"/>
        <v>9.6367781925767323E-2</v>
      </c>
      <c r="P31" s="36">
        <f>'All Cash'!$D$38</f>
        <v>510990.00000000012</v>
      </c>
      <c r="Q31" s="37">
        <f>'All Cash'!$H$31</f>
        <v>3.5000000000000003E-2</v>
      </c>
      <c r="R31" s="38">
        <f>'All Cash'!$D$24</f>
        <v>505990</v>
      </c>
      <c r="S31" s="38">
        <v>0</v>
      </c>
      <c r="T31" s="39">
        <f t="shared" si="3"/>
        <v>689788.32958927937</v>
      </c>
      <c r="U31" s="39">
        <v>0</v>
      </c>
      <c r="V31" s="39">
        <f>(R31+T31)*'All Cash'!$H$35</f>
        <v>83704.48307124956</v>
      </c>
      <c r="W31" s="36">
        <f>'All Cash'!$I$27*'All Cash'!$M31</f>
        <v>624990.47563816665</v>
      </c>
      <c r="X31" s="34">
        <f t="shared" si="4"/>
        <v>27555.619025526667</v>
      </c>
      <c r="Y31" s="80">
        <f t="shared" si="5"/>
        <v>0</v>
      </c>
      <c r="Z31" s="70">
        <f t="shared" si="0"/>
        <v>0</v>
      </c>
    </row>
    <row r="32" spans="1:26" x14ac:dyDescent="0.25">
      <c r="A32" s="10"/>
      <c r="B32" s="56" t="s">
        <v>56</v>
      </c>
      <c r="C32" s="56"/>
      <c r="D32" s="57">
        <f>H44</f>
        <v>4.9407338140134524E-2</v>
      </c>
      <c r="E32" s="45"/>
      <c r="F32" s="43"/>
      <c r="G32" s="44" t="s">
        <v>57</v>
      </c>
      <c r="H32" s="79">
        <f>Summary!C13</f>
        <v>15</v>
      </c>
      <c r="I32" s="45"/>
      <c r="M32" s="30">
        <v>26</v>
      </c>
      <c r="N32" s="34">
        <f t="shared" si="1"/>
        <v>1294996.5258098543</v>
      </c>
      <c r="O32" s="35">
        <f t="shared" si="2"/>
        <v>9.7472668124609849E-2</v>
      </c>
      <c r="P32" s="36">
        <f>'All Cash'!$D$38</f>
        <v>510990.00000000012</v>
      </c>
      <c r="Q32" s="37">
        <f>'All Cash'!$H$31</f>
        <v>3.5000000000000003E-2</v>
      </c>
      <c r="R32" s="38">
        <f>'All Cash'!$D$24</f>
        <v>505990</v>
      </c>
      <c r="S32" s="38">
        <v>0</v>
      </c>
      <c r="T32" s="39">
        <f t="shared" si="3"/>
        <v>731640.57112490432</v>
      </c>
      <c r="U32" s="39">
        <v>0</v>
      </c>
      <c r="V32" s="39">
        <f>(R32+T32)*'All Cash'!$H$35</f>
        <v>86634.139978743304</v>
      </c>
      <c r="W32" s="36">
        <f>'All Cash'!$I$27*'All Cash'!$M32</f>
        <v>649990.09466369334</v>
      </c>
      <c r="X32" s="34">
        <f t="shared" si="4"/>
        <v>27555.619025526667</v>
      </c>
      <c r="Y32" s="80">
        <f t="shared" si="5"/>
        <v>0</v>
      </c>
      <c r="Z32" s="70">
        <f t="shared" si="0"/>
        <v>0</v>
      </c>
    </row>
    <row r="33" spans="1:26" ht="18" x14ac:dyDescent="0.25">
      <c r="A33" s="10"/>
      <c r="B33" s="46" t="s">
        <v>58</v>
      </c>
      <c r="C33" s="46"/>
      <c r="D33" s="47"/>
      <c r="E33" s="48"/>
      <c r="F33" s="43"/>
      <c r="G33" s="56" t="str">
        <f>CONCATENATE("Appreciation After ",H32," Years")</f>
        <v>Appreciation After 15 Years</v>
      </c>
      <c r="H33" s="58">
        <f>$D$34*(1+H31)^H32-$D$34</f>
        <v>341719.75487228506</v>
      </c>
      <c r="I33" s="10"/>
      <c r="M33" s="30">
        <v>27</v>
      </c>
      <c r="N33" s="34">
        <f t="shared" si="1"/>
        <v>1360281.0199254968</v>
      </c>
      <c r="O33" s="35">
        <f t="shared" si="2"/>
        <v>9.8594450998569699E-2</v>
      </c>
      <c r="P33" s="36">
        <f>'All Cash'!$D$38</f>
        <v>510990.00000000012</v>
      </c>
      <c r="Q33" s="37">
        <f>'All Cash'!$H$31</f>
        <v>3.5000000000000003E-2</v>
      </c>
      <c r="R33" s="38">
        <f>'All Cash'!$D$24</f>
        <v>505990</v>
      </c>
      <c r="S33" s="38">
        <v>0</v>
      </c>
      <c r="T33" s="39">
        <f t="shared" si="3"/>
        <v>774957.6411142759</v>
      </c>
      <c r="U33" s="39">
        <v>0</v>
      </c>
      <c r="V33" s="39">
        <f>(R33+T33)*'All Cash'!$H$35</f>
        <v>89666.334877999325</v>
      </c>
      <c r="W33" s="36">
        <f>'All Cash'!$I$27*'All Cash'!$M33</f>
        <v>674989.71368922002</v>
      </c>
      <c r="X33" s="34">
        <f t="shared" si="4"/>
        <v>27555.619025526667</v>
      </c>
      <c r="Y33" s="80">
        <f t="shared" si="5"/>
        <v>0</v>
      </c>
      <c r="Z33" s="70">
        <f t="shared" si="0"/>
        <v>0</v>
      </c>
    </row>
    <row r="34" spans="1:26" x14ac:dyDescent="0.25">
      <c r="A34" s="10"/>
      <c r="B34" s="44" t="s">
        <v>28</v>
      </c>
      <c r="C34" s="44"/>
      <c r="D34" s="50">
        <f>Summary!C8</f>
        <v>505990</v>
      </c>
      <c r="E34" s="45"/>
      <c r="F34" s="43"/>
      <c r="G34" s="10"/>
      <c r="H34" s="10"/>
      <c r="I34" s="10"/>
      <c r="M34" s="30">
        <v>28</v>
      </c>
      <c r="N34" s="34">
        <f t="shared" si="1"/>
        <v>1426975.4846692928</v>
      </c>
      <c r="O34" s="35">
        <f t="shared" si="2"/>
        <v>9.9734652667880869E-2</v>
      </c>
      <c r="P34" s="36">
        <f>'All Cash'!$D$38</f>
        <v>510990.00000000012</v>
      </c>
      <c r="Q34" s="37">
        <f>'All Cash'!$H$31</f>
        <v>3.5000000000000003E-2</v>
      </c>
      <c r="R34" s="38">
        <f>'All Cash'!$D$24</f>
        <v>505990</v>
      </c>
      <c r="S34" s="38">
        <v>0</v>
      </c>
      <c r="T34" s="39">
        <f t="shared" si="3"/>
        <v>819790.80855327542</v>
      </c>
      <c r="U34" s="39">
        <v>0</v>
      </c>
      <c r="V34" s="39">
        <f>(R34+T34)*'All Cash'!$H$35</f>
        <v>92804.656598729285</v>
      </c>
      <c r="W34" s="36">
        <f>'All Cash'!$I$27*'All Cash'!$M34</f>
        <v>699989.33271474671</v>
      </c>
      <c r="X34" s="34">
        <f t="shared" si="4"/>
        <v>27555.619025526667</v>
      </c>
      <c r="Y34" s="80">
        <f t="shared" si="5"/>
        <v>0</v>
      </c>
      <c r="Z34" s="70">
        <f t="shared" si="0"/>
        <v>0</v>
      </c>
    </row>
    <row r="35" spans="1:26" x14ac:dyDescent="0.25">
      <c r="A35" s="10"/>
      <c r="B35" s="44" t="s">
        <v>59</v>
      </c>
      <c r="C35" s="81">
        <v>1.0000000000000002</v>
      </c>
      <c r="D35" s="52">
        <f>C35*D34</f>
        <v>505990.00000000012</v>
      </c>
      <c r="E35" s="45"/>
      <c r="F35" s="43"/>
      <c r="G35" s="44" t="s">
        <v>60</v>
      </c>
      <c r="H35" s="51">
        <v>7.0000000000000007E-2</v>
      </c>
      <c r="I35" s="45" t="s">
        <v>61</v>
      </c>
      <c r="M35" s="30">
        <v>29</v>
      </c>
      <c r="N35" s="34">
        <f t="shared" si="1"/>
        <v>1495129.2690132284</v>
      </c>
      <c r="O35" s="35">
        <f t="shared" si="2"/>
        <v>0.10089469791994228</v>
      </c>
      <c r="P35" s="36">
        <f>'All Cash'!$D$38</f>
        <v>510990.00000000012</v>
      </c>
      <c r="Q35" s="37">
        <f>'All Cash'!$H$31</f>
        <v>3.5000000000000003E-2</v>
      </c>
      <c r="R35" s="38">
        <f>'All Cash'!$D$24</f>
        <v>505990</v>
      </c>
      <c r="S35" s="38">
        <v>0</v>
      </c>
      <c r="T35" s="39">
        <f t="shared" si="3"/>
        <v>866193.13685263996</v>
      </c>
      <c r="U35" s="39">
        <v>0</v>
      </c>
      <c r="V35" s="39">
        <f>(R35+T35)*'All Cash'!$H$35</f>
        <v>96052.819579684801</v>
      </c>
      <c r="W35" s="36">
        <f>'All Cash'!$I$27*'All Cash'!$M35</f>
        <v>724988.95174027327</v>
      </c>
      <c r="X35" s="34">
        <f t="shared" si="4"/>
        <v>27555.619025526667</v>
      </c>
      <c r="Y35" s="80">
        <f t="shared" si="5"/>
        <v>0</v>
      </c>
      <c r="Z35" s="70">
        <f t="shared" si="0"/>
        <v>0</v>
      </c>
    </row>
    <row r="36" spans="1:26" x14ac:dyDescent="0.25">
      <c r="A36" s="10"/>
      <c r="B36" s="44" t="s">
        <v>62</v>
      </c>
      <c r="C36" s="44"/>
      <c r="D36" s="52">
        <v>5000</v>
      </c>
      <c r="E36" s="45"/>
      <c r="F36" s="43"/>
      <c r="G36" s="44" t="s">
        <v>42</v>
      </c>
      <c r="H36" s="52">
        <f>(D34+H33)*$H$35</f>
        <v>59339.682841059963</v>
      </c>
      <c r="I36" s="45"/>
      <c r="M36" s="30">
        <v>30</v>
      </c>
      <c r="N36" s="34">
        <f t="shared" si="1"/>
        <v>1564793.4491433084</v>
      </c>
      <c r="O36" s="35">
        <f t="shared" si="2"/>
        <v>0.10207593424159039</v>
      </c>
      <c r="P36" s="36">
        <f>'All Cash'!$D$38</f>
        <v>510990.00000000012</v>
      </c>
      <c r="Q36" s="37">
        <f>'All Cash'!$H$31</f>
        <v>3.5000000000000003E-2</v>
      </c>
      <c r="R36" s="38">
        <f>'All Cash'!$D$24</f>
        <v>505990</v>
      </c>
      <c r="S36" s="38">
        <v>0</v>
      </c>
      <c r="T36" s="39">
        <f t="shared" si="3"/>
        <v>914219.54664248228</v>
      </c>
      <c r="U36" s="39">
        <v>0</v>
      </c>
      <c r="V36" s="39">
        <f>(R36+T36)*'All Cash'!$H$35</f>
        <v>99414.668264973763</v>
      </c>
      <c r="W36" s="36">
        <f>'All Cash'!$I$27*'All Cash'!$M36</f>
        <v>749988.57076579996</v>
      </c>
      <c r="X36" s="34">
        <f t="shared" si="4"/>
        <v>27555.619025526667</v>
      </c>
      <c r="Y36" s="80">
        <f t="shared" si="5"/>
        <v>0</v>
      </c>
      <c r="Z36" s="70">
        <f t="shared" si="0"/>
        <v>0</v>
      </c>
    </row>
    <row r="37" spans="1:26" x14ac:dyDescent="0.25">
      <c r="A37" s="10"/>
      <c r="B37" s="44" t="s">
        <v>63</v>
      </c>
      <c r="C37" s="44"/>
      <c r="D37" s="50">
        <v>0</v>
      </c>
      <c r="E37" s="60"/>
      <c r="F37" s="43"/>
      <c r="G37" s="56" t="s">
        <v>17</v>
      </c>
      <c r="H37" s="64">
        <f>H32*I27</f>
        <v>374994.28538289998</v>
      </c>
      <c r="I37" s="45"/>
      <c r="J37" s="3"/>
      <c r="N37" s="34"/>
      <c r="Z37" s="70"/>
    </row>
    <row r="38" spans="1:26" x14ac:dyDescent="0.25">
      <c r="A38" s="10"/>
      <c r="B38" s="56" t="s">
        <v>38</v>
      </c>
      <c r="C38" s="56"/>
      <c r="D38" s="61">
        <f>SUM(D35:D37)</f>
        <v>510990.00000000012</v>
      </c>
      <c r="E38" s="45"/>
      <c r="F38" s="43"/>
      <c r="G38" s="56" t="s">
        <v>36</v>
      </c>
      <c r="H38" s="58">
        <f>H37+H33-H36</f>
        <v>657374.357414125</v>
      </c>
      <c r="I38" s="45"/>
      <c r="J38" s="3"/>
      <c r="Z38" s="70"/>
    </row>
    <row r="39" spans="1:26" ht="18" x14ac:dyDescent="0.25">
      <c r="A39" s="10"/>
      <c r="B39" s="46" t="s">
        <v>64</v>
      </c>
      <c r="C39" s="46"/>
      <c r="D39" s="48" t="s">
        <v>46</v>
      </c>
      <c r="E39" s="48" t="s">
        <v>47</v>
      </c>
      <c r="F39" s="43"/>
      <c r="G39" s="10"/>
      <c r="H39" s="10"/>
      <c r="I39" s="45"/>
      <c r="Z39" s="70"/>
    </row>
    <row r="40" spans="1:26" x14ac:dyDescent="0.25">
      <c r="A40" s="10"/>
      <c r="B40" s="44" t="s">
        <v>65</v>
      </c>
      <c r="C40" s="82">
        <v>2.0030539999999999E-2</v>
      </c>
      <c r="D40" s="52">
        <f>C40*0.9*D34/12</f>
        <v>760.14397009499999</v>
      </c>
      <c r="E40" s="53">
        <f t="shared" ref="E40:E46" si="7">D40*12</f>
        <v>9121.7276411399998</v>
      </c>
      <c r="F40" s="43"/>
      <c r="G40" s="56" t="s">
        <v>66</v>
      </c>
      <c r="H40" s="65">
        <f>((H37/D38)/H32)</f>
        <v>4.8923890928446075E-2</v>
      </c>
      <c r="I40" s="45"/>
      <c r="Z40" s="70"/>
    </row>
    <row r="41" spans="1:26" x14ac:dyDescent="0.25">
      <c r="A41" s="10"/>
      <c r="B41" s="44" t="s">
        <v>67</v>
      </c>
      <c r="C41" s="44"/>
      <c r="D41" s="50">
        <v>105</v>
      </c>
      <c r="E41" s="53">
        <f t="shared" si="7"/>
        <v>1260</v>
      </c>
      <c r="F41" s="43"/>
      <c r="G41" s="56" t="s">
        <v>68</v>
      </c>
      <c r="H41" s="65">
        <f>((I28*H32)/D38)/H32</f>
        <v>5.3925945763178655E-2</v>
      </c>
      <c r="I41" s="45"/>
      <c r="Z41" s="70"/>
    </row>
    <row r="42" spans="1:26" x14ac:dyDescent="0.25">
      <c r="A42" s="10"/>
      <c r="B42" s="44" t="s">
        <v>69</v>
      </c>
      <c r="C42" s="44"/>
      <c r="D42" s="50">
        <f>1000/12</f>
        <v>83.333333333333329</v>
      </c>
      <c r="E42" s="53">
        <f t="shared" si="7"/>
        <v>1000</v>
      </c>
      <c r="F42" s="43"/>
      <c r="G42" s="56" t="s">
        <v>55</v>
      </c>
      <c r="H42" s="65">
        <f>H38/D38/H32</f>
        <v>8.576480393146961E-2</v>
      </c>
      <c r="I42" s="45"/>
      <c r="Z42" s="70"/>
    </row>
    <row r="43" spans="1:26" x14ac:dyDescent="0.25">
      <c r="A43" s="10"/>
      <c r="B43" s="44" t="s">
        <v>70</v>
      </c>
      <c r="C43" s="84">
        <v>0.06</v>
      </c>
      <c r="D43" s="52">
        <f>(H25-D45)*C43</f>
        <v>206.60999999999999</v>
      </c>
      <c r="E43" s="53">
        <f t="shared" si="7"/>
        <v>2479.3199999999997</v>
      </c>
      <c r="F43" s="43"/>
      <c r="G43" s="56" t="s">
        <v>26</v>
      </c>
      <c r="H43" s="65">
        <f>IRR(Z6:Z36)</f>
        <v>7.4749678046102552E-2</v>
      </c>
      <c r="I43" s="45"/>
    </row>
    <row r="44" spans="1:26" x14ac:dyDescent="0.25">
      <c r="A44" s="10"/>
      <c r="B44" s="44" t="s">
        <v>71</v>
      </c>
      <c r="C44" s="81">
        <v>0.5</v>
      </c>
      <c r="D44" s="52">
        <f>(C44*H25)/18</f>
        <v>98.611111111111114</v>
      </c>
      <c r="E44" s="53">
        <f t="shared" si="7"/>
        <v>1183.3333333333335</v>
      </c>
      <c r="F44" s="43"/>
      <c r="G44" s="56" t="s">
        <v>56</v>
      </c>
      <c r="H44" s="65">
        <f>(I25-E47)/D34</f>
        <v>4.9407338140134524E-2</v>
      </c>
      <c r="I44" s="45"/>
    </row>
    <row r="45" spans="1:26" x14ac:dyDescent="0.25">
      <c r="A45" s="10"/>
      <c r="B45" s="44" t="s">
        <v>72</v>
      </c>
      <c r="C45" s="81">
        <v>0.03</v>
      </c>
      <c r="D45" s="52">
        <f>C45*H25</f>
        <v>106.5</v>
      </c>
      <c r="E45" s="53">
        <f t="shared" si="7"/>
        <v>1278</v>
      </c>
      <c r="F45" s="43"/>
      <c r="G45" s="10"/>
      <c r="H45" s="10"/>
      <c r="I45" s="10"/>
    </row>
    <row r="46" spans="1:26" ht="18" x14ac:dyDescent="0.25">
      <c r="A46" s="10"/>
      <c r="B46" s="44" t="s">
        <v>73</v>
      </c>
      <c r="C46" s="81">
        <v>0.03</v>
      </c>
      <c r="D46" s="52">
        <f>C46*H25</f>
        <v>106.5</v>
      </c>
      <c r="E46" s="53">
        <f t="shared" si="7"/>
        <v>1278</v>
      </c>
      <c r="F46" s="43"/>
      <c r="G46" s="46" t="s">
        <v>74</v>
      </c>
      <c r="H46" s="48"/>
      <c r="I46" s="48"/>
    </row>
    <row r="47" spans="1:26" x14ac:dyDescent="0.25">
      <c r="A47" s="10"/>
      <c r="B47" s="56" t="s">
        <v>50</v>
      </c>
      <c r="C47" s="56"/>
      <c r="D47" s="58">
        <f>SUM(D40:D46)</f>
        <v>1466.6984145394445</v>
      </c>
      <c r="E47" s="58">
        <f>SUM(E40:E46)</f>
        <v>17600.380974473333</v>
      </c>
      <c r="F47" s="43"/>
      <c r="G47" s="56" t="s">
        <v>75</v>
      </c>
      <c r="H47" s="66"/>
      <c r="I47" s="58">
        <f>(D34-68000)/27.5</f>
        <v>15926.90909090909</v>
      </c>
    </row>
    <row r="48" spans="1:26" x14ac:dyDescent="0.25">
      <c r="A48" s="10"/>
      <c r="B48" s="10"/>
      <c r="C48" s="10"/>
      <c r="D48" s="17"/>
      <c r="E48" s="16"/>
      <c r="F48" s="43"/>
      <c r="G48" s="10"/>
      <c r="H48" s="10"/>
      <c r="I48" s="10"/>
    </row>
    <row r="49" spans="1:25" x14ac:dyDescent="0.25">
      <c r="A49" s="10"/>
      <c r="B49" s="44"/>
      <c r="C49" s="10"/>
      <c r="D49" s="55"/>
      <c r="E49" s="54"/>
      <c r="F49" s="43"/>
      <c r="G49" s="10"/>
      <c r="H49" s="10"/>
      <c r="I49" s="10"/>
    </row>
    <row r="50" spans="1:25" x14ac:dyDescent="0.25">
      <c r="A50" s="10"/>
      <c r="B50" s="18" t="s">
        <v>76</v>
      </c>
      <c r="C50" s="18"/>
      <c r="D50" s="17"/>
      <c r="E50" s="16"/>
      <c r="F50" s="10"/>
      <c r="G50" s="10"/>
      <c r="H50" s="10"/>
      <c r="I50" s="10"/>
    </row>
    <row r="51" spans="1:25" ht="67.5" customHeight="1" x14ac:dyDescent="0.25">
      <c r="A51" s="10"/>
      <c r="B51" s="111" t="s">
        <v>77</v>
      </c>
      <c r="C51" s="111"/>
      <c r="D51" s="111"/>
      <c r="E51" s="111"/>
      <c r="F51" s="111"/>
      <c r="G51" s="111"/>
      <c r="H51" s="111"/>
      <c r="I51" s="111"/>
    </row>
    <row r="52" spans="1:25" ht="18" x14ac:dyDescent="0.25">
      <c r="A52" s="10"/>
      <c r="B52" s="110" t="s">
        <v>33</v>
      </c>
      <c r="C52" s="110"/>
      <c r="D52" s="110"/>
      <c r="E52" s="110"/>
      <c r="F52" s="110"/>
      <c r="G52" s="110"/>
      <c r="H52" s="110"/>
      <c r="I52" s="110"/>
    </row>
    <row r="53" spans="1:25" x14ac:dyDescent="0.25">
      <c r="B53" s="10"/>
      <c r="C53" s="10"/>
      <c r="D53" s="17"/>
      <c r="E53" s="16"/>
      <c r="F53" s="43"/>
    </row>
    <row r="54" spans="1:25" ht="18" x14ac:dyDescent="0.25">
      <c r="B54" s="10"/>
      <c r="C54" s="10"/>
      <c r="D54" s="17"/>
      <c r="E54" s="16"/>
      <c r="F54" s="43"/>
      <c r="G54" s="75"/>
      <c r="H54" s="76"/>
      <c r="I54" s="76"/>
    </row>
    <row r="56" spans="1:25" x14ac:dyDescent="0.25">
      <c r="B56" s="10"/>
      <c r="C56" s="10"/>
      <c r="D56" s="17"/>
      <c r="E56" s="16"/>
      <c r="F56" s="43"/>
      <c r="G56" s="56"/>
      <c r="H56" s="68"/>
      <c r="I56" s="58"/>
    </row>
    <row r="59" spans="1:25" s="10" customFormat="1" ht="18" x14ac:dyDescent="0.25">
      <c r="B59" s="29"/>
      <c r="C59" s="29"/>
      <c r="D59" s="29"/>
      <c r="E59" s="29"/>
      <c r="F59" s="29"/>
      <c r="G59" s="29"/>
      <c r="H59" s="29"/>
      <c r="I59" s="29"/>
      <c r="L59" s="42"/>
      <c r="M59" s="42"/>
      <c r="N59" s="42"/>
      <c r="O59" s="42"/>
      <c r="P59" s="42"/>
      <c r="Q59" s="42"/>
      <c r="R59" s="42"/>
      <c r="S59" s="42"/>
      <c r="T59" s="42"/>
      <c r="U59" s="42"/>
      <c r="V59" s="42"/>
      <c r="W59" s="42"/>
      <c r="X59" s="42"/>
      <c r="Y59" s="42"/>
    </row>
    <row r="62" spans="1:25" x14ac:dyDescent="0.25">
      <c r="F62" s="10"/>
    </row>
    <row r="63" spans="1:25" x14ac:dyDescent="0.25">
      <c r="F63" s="10"/>
    </row>
    <row r="64" spans="1:25" x14ac:dyDescent="0.25">
      <c r="F64" s="10"/>
    </row>
    <row r="65" spans="6:6" x14ac:dyDescent="0.25">
      <c r="F65" s="10"/>
    </row>
    <row r="66" spans="6:6" x14ac:dyDescent="0.25">
      <c r="F66" s="10"/>
    </row>
    <row r="67" spans="6:6" x14ac:dyDescent="0.25">
      <c r="F67" s="10"/>
    </row>
    <row r="68" spans="6:6" x14ac:dyDescent="0.25">
      <c r="F68" s="10"/>
    </row>
    <row r="69" spans="6:6" x14ac:dyDescent="0.25">
      <c r="F69" s="10"/>
    </row>
    <row r="70" spans="6:6" x14ac:dyDescent="0.25">
      <c r="F70" s="10"/>
    </row>
  </sheetData>
  <sheetProtection selectLockedCells="1"/>
  <mergeCells count="6">
    <mergeCell ref="B52:I52"/>
    <mergeCell ref="B51:I51"/>
    <mergeCell ref="B1:I1"/>
    <mergeCell ref="B2:I2"/>
    <mergeCell ref="B3:I3"/>
    <mergeCell ref="B4:I4"/>
  </mergeCells>
  <pageMargins left="0.7" right="0.7" top="0.75" bottom="0.75" header="0.3" footer="0.3"/>
  <pageSetup scale="57"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1CE52F9-849F-4877-862B-E89AD503665D}">
          <x14:formula1>
            <xm:f>DAta!$A$2:$A$23</xm:f>
          </x14:formula1>
          <xm:sqref>C35</xm:sqref>
        </x14:dataValidation>
        <x14:dataValidation type="list" allowBlank="1" showInputMessage="1" showErrorMessage="1" xr:uid="{2EBFBCE8-408A-48C7-BDFC-C7A94A1285AF}">
          <x14:formula1>
            <xm:f>DAta!$C$2:$C$11</xm:f>
          </x14:formula1>
          <xm:sqref>C45</xm:sqref>
        </x14:dataValidation>
        <x14:dataValidation type="list" allowBlank="1" showInputMessage="1" showErrorMessage="1" xr:uid="{BC5487F1-78A2-459D-971F-444D282CD1D6}">
          <x14:formula1>
            <xm:f>DAta!$E$2:$E$11</xm:f>
          </x14:formula1>
          <xm:sqref>C46</xm:sqref>
        </x14:dataValidation>
        <x14:dataValidation type="list" allowBlank="1" showInputMessage="1" showErrorMessage="1" xr:uid="{11CFB7E3-980A-48DA-8336-D10841795B4D}">
          <x14:formula1>
            <xm:f>DAta!$H$2:$H$31</xm:f>
          </x14:formula1>
          <xm:sqref>H32</xm:sqref>
        </x14:dataValidation>
        <x14:dataValidation type="list" allowBlank="1" showInputMessage="1" showErrorMessage="1" xr:uid="{9F8A9939-6349-4075-BCB8-776EC7955801}">
          <x14:formula1>
            <xm:f>DAta!$F$2:$F$12</xm:f>
          </x14:formula1>
          <xm:sqref>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46E9-F5B9-4682-AB87-CC6FBA180BA8}">
  <sheetPr codeName="Sheet1">
    <pageSetUpPr fitToPage="1"/>
  </sheetPr>
  <dimension ref="A1:AA68"/>
  <sheetViews>
    <sheetView topLeftCell="A3" zoomScale="85" zoomScaleNormal="85" workbookViewId="0">
      <selection activeCell="E50" sqref="E50"/>
    </sheetView>
  </sheetViews>
  <sheetFormatPr defaultRowHeight="15" x14ac:dyDescent="0.25"/>
  <cols>
    <col min="1" max="1" width="3.42578125" customWidth="1"/>
    <col min="2" max="2" width="45" customWidth="1"/>
    <col min="3" max="3" width="9" customWidth="1"/>
    <col min="4" max="4" width="12.7109375" style="8" customWidth="1"/>
    <col min="5" max="5" width="13.140625" style="9" customWidth="1"/>
    <col min="6" max="6" width="5" customWidth="1"/>
    <col min="7" max="7" width="46.7109375" customWidth="1"/>
    <col min="8" max="8" width="14.140625" bestFit="1" customWidth="1"/>
    <col min="9" max="9" width="13.140625" customWidth="1"/>
    <col min="10" max="10" width="13.42578125" bestFit="1" customWidth="1"/>
    <col min="12" max="12" width="9" style="30" customWidth="1"/>
    <col min="13" max="13" width="9.28515625" style="30" hidden="1" customWidth="1"/>
    <col min="14" max="14" width="20.28515625" style="30" hidden="1" customWidth="1"/>
    <col min="15" max="15" width="20.85546875" style="30" hidden="1" customWidth="1"/>
    <col min="16" max="16" width="26.28515625" style="30" hidden="1" customWidth="1"/>
    <col min="17" max="17" width="19.28515625" style="30" hidden="1" customWidth="1"/>
    <col min="18" max="18" width="9.5703125" style="30" hidden="1" customWidth="1"/>
    <col min="19" max="19" width="12.7109375" style="30" hidden="1" customWidth="1"/>
    <col min="20" max="20" width="12.5703125" style="30" hidden="1" customWidth="1"/>
    <col min="21" max="21" width="17.5703125" style="30" hidden="1" customWidth="1"/>
    <col min="22" max="22" width="16.42578125" style="30" hidden="1" customWidth="1"/>
    <col min="23" max="23" width="24.140625" style="30" hidden="1" customWidth="1"/>
    <col min="24" max="24" width="13.5703125" style="30" hidden="1" customWidth="1"/>
    <col min="25" max="25" width="12.42578125" style="30" hidden="1" customWidth="1"/>
    <col min="26" max="26" width="20.5703125" hidden="1" customWidth="1"/>
    <col min="27" max="27" width="13.42578125" bestFit="1" customWidth="1"/>
  </cols>
  <sheetData>
    <row r="1" spans="1:26" x14ac:dyDescent="0.25">
      <c r="A1" s="10"/>
      <c r="B1" s="112"/>
      <c r="C1" s="112"/>
      <c r="D1" s="112"/>
      <c r="E1" s="112"/>
      <c r="F1" s="112"/>
      <c r="G1" s="112"/>
      <c r="H1" s="112"/>
      <c r="I1" s="112"/>
    </row>
    <row r="2" spans="1:26" x14ac:dyDescent="0.25">
      <c r="A2" s="10"/>
      <c r="B2" s="112"/>
      <c r="C2" s="112"/>
      <c r="D2" s="112"/>
      <c r="E2" s="112"/>
      <c r="F2" s="112"/>
      <c r="G2" s="112"/>
      <c r="H2" s="112"/>
      <c r="I2" s="112"/>
    </row>
    <row r="3" spans="1:26" ht="23.25" customHeight="1" x14ac:dyDescent="0.25">
      <c r="A3" s="10"/>
      <c r="B3" s="112"/>
      <c r="C3" s="112"/>
      <c r="D3" s="112"/>
      <c r="E3" s="112"/>
      <c r="F3" s="112"/>
      <c r="G3" s="112"/>
      <c r="H3" s="112"/>
      <c r="I3" s="112"/>
    </row>
    <row r="4" spans="1:26" ht="22.5" x14ac:dyDescent="0.3">
      <c r="A4" s="10"/>
      <c r="B4" s="113" t="s">
        <v>34</v>
      </c>
      <c r="C4" s="113"/>
      <c r="D4" s="113"/>
      <c r="E4" s="113"/>
      <c r="F4" s="113"/>
      <c r="G4" s="113"/>
      <c r="H4" s="113"/>
      <c r="I4" s="113"/>
    </row>
    <row r="5" spans="1:26" x14ac:dyDescent="0.25">
      <c r="A5" s="10"/>
      <c r="B5" s="43"/>
      <c r="C5" s="43"/>
      <c r="D5" s="44"/>
      <c r="E5" s="45"/>
      <c r="F5" s="43"/>
      <c r="G5" s="43"/>
      <c r="H5" s="43"/>
      <c r="I5" s="43"/>
      <c r="M5" s="31" t="s">
        <v>35</v>
      </c>
      <c r="N5" s="31" t="s">
        <v>36</v>
      </c>
      <c r="O5" s="32" t="s">
        <v>37</v>
      </c>
      <c r="P5" s="31" t="s">
        <v>38</v>
      </c>
      <c r="Q5" s="31" t="s">
        <v>10</v>
      </c>
      <c r="R5" s="31" t="s">
        <v>6</v>
      </c>
      <c r="S5" s="31" t="s">
        <v>39</v>
      </c>
      <c r="T5" s="31" t="s">
        <v>40</v>
      </c>
      <c r="U5" s="31" t="s">
        <v>41</v>
      </c>
      <c r="V5" s="31" t="s">
        <v>42</v>
      </c>
      <c r="W5" s="33" t="s">
        <v>17</v>
      </c>
      <c r="X5" s="33" t="s">
        <v>43</v>
      </c>
      <c r="Y5" s="33" t="s">
        <v>44</v>
      </c>
      <c r="Z5" s="33" t="s">
        <v>45</v>
      </c>
    </row>
    <row r="6" spans="1:26" ht="14.25" customHeight="1" x14ac:dyDescent="0.25">
      <c r="A6" s="10"/>
      <c r="B6" s="43"/>
      <c r="C6" s="43"/>
      <c r="D6" s="44"/>
      <c r="E6" s="45"/>
      <c r="F6" s="43"/>
      <c r="G6" s="43"/>
      <c r="H6" s="43"/>
      <c r="I6" s="43"/>
      <c r="M6" s="30">
        <v>0</v>
      </c>
      <c r="X6" s="34">
        <f>-D38</f>
        <v>-164029.71728699733</v>
      </c>
      <c r="Z6" s="70">
        <f>SUM(X6:Y6)</f>
        <v>-164029.71728699733</v>
      </c>
    </row>
    <row r="7" spans="1:26" ht="14.25" customHeight="1" x14ac:dyDescent="0.25">
      <c r="A7" s="10"/>
      <c r="B7" s="43"/>
      <c r="C7" s="43"/>
      <c r="D7" s="44"/>
      <c r="E7" s="45"/>
      <c r="F7" s="43"/>
      <c r="G7" s="43"/>
      <c r="H7" s="43"/>
      <c r="I7" s="43"/>
      <c r="M7" s="30">
        <v>1</v>
      </c>
      <c r="N7" s="34">
        <f t="shared" ref="N7:N36" si="0">W7+T7+U7-V7</f>
        <v>-7120.7615854135947</v>
      </c>
      <c r="O7" s="35">
        <f t="shared" ref="O7:O36" si="1">N7/P7/M7</f>
        <v>-4.3411411683131999E-2</v>
      </c>
      <c r="P7" s="36">
        <f>'With Loan'!$D$38</f>
        <v>164029.71728699733</v>
      </c>
      <c r="Q7" s="37">
        <f>'With Loan'!$H$31</f>
        <v>3.5000000000000003E-2</v>
      </c>
      <c r="R7" s="38">
        <f>'With Loan'!$D$24</f>
        <v>505990</v>
      </c>
      <c r="S7" s="38">
        <f>'With Loan'!$D$40</f>
        <v>354193</v>
      </c>
      <c r="T7" s="39">
        <f t="shared" ref="T7:T36" si="2">$R$7*(1+Q7)^M7-$R$7</f>
        <v>17709.649999999965</v>
      </c>
      <c r="U7" s="39">
        <f>S7-_xlfn.XLOOKUP($M7*12,'30% Down Amortization'!$A$4:$A$363,'30% Down Amortization'!$E$4:$E$363,0,0,1)</f>
        <v>6512.820976144576</v>
      </c>
      <c r="V7" s="39">
        <f>(R7+T7)*'With Loan'!$H$36</f>
        <v>36658.9755</v>
      </c>
      <c r="W7" s="36">
        <f>'With Loan'!$I$27*'With Loan'!$M7</f>
        <v>5315.7429384418647</v>
      </c>
      <c r="X7" s="34">
        <f>$I$27</f>
        <v>5315.7429384418647</v>
      </c>
      <c r="Y7" s="80">
        <f>IF($H$32=$M7,R7+T7-V7-_xlfn.XLOOKUP(M7*12,'30% Down Amortization'!$A$4:$A$363,'30% Down Amortization'!$E$4:$E$363,0,0,1),0)</f>
        <v>0</v>
      </c>
      <c r="Z7" s="70">
        <f t="shared" ref="Z7:Z36" si="3">IF($H$32&gt;=M7,SUM(X7:Y7),0)</f>
        <v>5315.7429384418647</v>
      </c>
    </row>
    <row r="8" spans="1:26" ht="14.25" customHeight="1" x14ac:dyDescent="0.25">
      <c r="A8" s="10"/>
      <c r="B8" s="43"/>
      <c r="C8" s="43"/>
      <c r="D8" s="44"/>
      <c r="E8" s="45"/>
      <c r="F8" s="43"/>
      <c r="G8" s="43"/>
      <c r="H8" s="43"/>
      <c r="I8" s="43"/>
      <c r="M8" s="30">
        <v>2</v>
      </c>
      <c r="N8" s="34">
        <f t="shared" si="0"/>
        <v>22002.698475130834</v>
      </c>
      <c r="O8" s="35">
        <f t="shared" si="1"/>
        <v>6.7069244643741741E-2</v>
      </c>
      <c r="P8" s="36">
        <f>'With Loan'!$D$38</f>
        <v>164029.71728699733</v>
      </c>
      <c r="Q8" s="37">
        <f>'With Loan'!$H$31</f>
        <v>3.5000000000000003E-2</v>
      </c>
      <c r="R8" s="38">
        <f>'With Loan'!$D$24</f>
        <v>505990</v>
      </c>
      <c r="S8" s="38">
        <f>'With Loan'!$D$40</f>
        <v>354193</v>
      </c>
      <c r="T8" s="39">
        <f t="shared" si="2"/>
        <v>36039.137749999878</v>
      </c>
      <c r="U8" s="39">
        <f>S8-_xlfn.XLOOKUP($M8*12,'30% Down Amortization'!$A$4:$A$363,'30% Down Amortization'!$E$4:$E$363,0,0,1)</f>
        <v>13274.114490747219</v>
      </c>
      <c r="V8" s="39">
        <f>(R8+T8)*'With Loan'!$H$36</f>
        <v>37942.039642499993</v>
      </c>
      <c r="W8" s="36">
        <f>'With Loan'!$I$27*'With Loan'!$M8</f>
        <v>10631.485876883729</v>
      </c>
      <c r="X8" s="34">
        <f t="shared" ref="X8:X36" si="4">$I$27</f>
        <v>5315.7429384418647</v>
      </c>
      <c r="Y8" s="80">
        <f>IF($H$32=$M8,R8+T8-V8-_xlfn.XLOOKUP(M8*12,'30% Down Amortization'!$A$4:$A$363,'30% Down Amortization'!$E$4:$E$363,0,0,1),0)</f>
        <v>0</v>
      </c>
      <c r="Z8" s="70">
        <f t="shared" si="3"/>
        <v>5315.7429384418647</v>
      </c>
    </row>
    <row r="9" spans="1:26" ht="14.25" customHeight="1" x14ac:dyDescent="0.25">
      <c r="A9" s="10"/>
      <c r="B9" s="43"/>
      <c r="C9" s="43"/>
      <c r="D9" s="44"/>
      <c r="E9" s="45"/>
      <c r="F9" s="43"/>
      <c r="G9" s="43"/>
      <c r="H9" s="43"/>
      <c r="I9" s="43"/>
      <c r="M9" s="30">
        <v>3</v>
      </c>
      <c r="N9" s="34">
        <f t="shared" si="0"/>
        <v>51980.73544890403</v>
      </c>
      <c r="O9" s="35">
        <f t="shared" si="1"/>
        <v>0.10563276034905933</v>
      </c>
      <c r="P9" s="36">
        <f>'With Loan'!$D$38</f>
        <v>164029.71728699733</v>
      </c>
      <c r="Q9" s="37">
        <f>'With Loan'!$H$31</f>
        <v>3.5000000000000003E-2</v>
      </c>
      <c r="R9" s="38">
        <f>'With Loan'!$D$24</f>
        <v>505990</v>
      </c>
      <c r="S9" s="38">
        <f>'With Loan'!$D$40</f>
        <v>354193</v>
      </c>
      <c r="T9" s="39">
        <f t="shared" si="2"/>
        <v>55010.157571249874</v>
      </c>
      <c r="U9" s="39">
        <f>S9-_xlfn.XLOOKUP($M9*12,'30% Down Amortization'!$A$4:$A$363,'30% Down Amortization'!$E$4:$E$363,0,0,1)</f>
        <v>20293.360092316056</v>
      </c>
      <c r="V9" s="39">
        <f>(R9+T9)*'With Loan'!$H$36</f>
        <v>39270.011029987494</v>
      </c>
      <c r="W9" s="36">
        <f>'With Loan'!$I$27*'With Loan'!$M9</f>
        <v>15947.228815325594</v>
      </c>
      <c r="X9" s="34">
        <f t="shared" si="4"/>
        <v>5315.7429384418647</v>
      </c>
      <c r="Y9" s="80">
        <f>IF($H$32=$M9,R9+T9-V9-_xlfn.XLOOKUP(M9*12,'30% Down Amortization'!$A$4:$A$363,'30% Down Amortization'!$E$4:$E$363,0,0,1),0)</f>
        <v>0</v>
      </c>
      <c r="Z9" s="70">
        <f t="shared" si="3"/>
        <v>5315.7429384418647</v>
      </c>
    </row>
    <row r="10" spans="1:26" ht="14.25" customHeight="1" x14ac:dyDescent="0.25">
      <c r="A10" s="10"/>
      <c r="B10" s="43"/>
      <c r="C10" s="43"/>
      <c r="D10" s="44"/>
      <c r="E10" s="45"/>
      <c r="F10" s="43"/>
      <c r="G10" s="43"/>
      <c r="H10" s="43"/>
      <c r="I10" s="43"/>
      <c r="M10" s="30">
        <v>4</v>
      </c>
      <c r="N10" s="34">
        <f t="shared" si="0"/>
        <v>82844.072410361608</v>
      </c>
      <c r="O10" s="35">
        <f t="shared" si="1"/>
        <v>0.1262638163690365</v>
      </c>
      <c r="P10" s="36">
        <f>'With Loan'!$D$38</f>
        <v>164029.71728699733</v>
      </c>
      <c r="Q10" s="37">
        <f>'With Loan'!$H$31</f>
        <v>3.5000000000000003E-2</v>
      </c>
      <c r="R10" s="38">
        <f>'With Loan'!$D$24</f>
        <v>505990</v>
      </c>
      <c r="S10" s="38">
        <f>'With Loan'!$D$40</f>
        <v>354193</v>
      </c>
      <c r="T10" s="39">
        <f t="shared" si="2"/>
        <v>74645.163086243556</v>
      </c>
      <c r="U10" s="39">
        <f>S10-_xlfn.XLOOKUP($M10*12,'30% Down Amortization'!$A$4:$A$363,'30% Down Amortization'!$E$4:$E$363,0,0,1)</f>
        <v>27580.398986387649</v>
      </c>
      <c r="V10" s="39">
        <f>(R10+T10)*'With Loan'!$H$36</f>
        <v>40644.461416037055</v>
      </c>
      <c r="W10" s="36">
        <f>'With Loan'!$I$27*'With Loan'!$M10</f>
        <v>21262.971753767459</v>
      </c>
      <c r="X10" s="34">
        <f t="shared" si="4"/>
        <v>5315.7429384418647</v>
      </c>
      <c r="Y10" s="80">
        <f>IF($H$32=$M10,R10+T10-V10-_xlfn.XLOOKUP(M10*12,'30% Down Amortization'!$A$4:$A$363,'30% Down Amortization'!$E$4:$E$363,0,0,1),0)</f>
        <v>0</v>
      </c>
      <c r="Z10" s="70">
        <f t="shared" si="3"/>
        <v>5315.7429384418647</v>
      </c>
    </row>
    <row r="11" spans="1:26" ht="14.25" customHeight="1" x14ac:dyDescent="0.25">
      <c r="A11" s="10"/>
      <c r="B11" s="43"/>
      <c r="C11" s="43"/>
      <c r="D11" s="44"/>
      <c r="E11" s="45"/>
      <c r="F11" s="43"/>
      <c r="G11" s="43"/>
      <c r="H11" s="43"/>
      <c r="I11" s="43"/>
      <c r="M11" s="30">
        <v>5</v>
      </c>
      <c r="N11" s="34">
        <f t="shared" si="0"/>
        <v>114624.53875408323</v>
      </c>
      <c r="O11" s="35">
        <f t="shared" si="1"/>
        <v>0.13976069781736988</v>
      </c>
      <c r="P11" s="36">
        <f>'With Loan'!$D$38</f>
        <v>164029.71728699733</v>
      </c>
      <c r="Q11" s="37">
        <f>'With Loan'!$H$31</f>
        <v>3.5000000000000003E-2</v>
      </c>
      <c r="R11" s="38">
        <f>'With Loan'!$D$24</f>
        <v>505990</v>
      </c>
      <c r="S11" s="38">
        <f>'With Loan'!$D$40</f>
        <v>354193</v>
      </c>
      <c r="T11" s="39">
        <f t="shared" si="2"/>
        <v>94967.393794262083</v>
      </c>
      <c r="U11" s="39">
        <f>S11-_xlfn.XLOOKUP($M11*12,'30% Down Amortization'!$A$4:$A$363,'30% Down Amortization'!$E$4:$E$363,0,0,1)</f>
        <v>35145.447833210172</v>
      </c>
      <c r="V11" s="39">
        <f>(R11+T11)*'With Loan'!$H$36</f>
        <v>42067.017565598348</v>
      </c>
      <c r="W11" s="36">
        <f>'With Loan'!$I$27*'With Loan'!$M11</f>
        <v>26578.714692209323</v>
      </c>
      <c r="X11" s="34">
        <f t="shared" si="4"/>
        <v>5315.7429384418647</v>
      </c>
      <c r="Y11" s="80">
        <f>IF($H$32=$M11,R11+T11-V11-_xlfn.XLOOKUP(M11*12,'30% Down Amortization'!$A$4:$A$363,'30% Down Amortization'!$E$4:$E$363,0,0,1),0)</f>
        <v>0</v>
      </c>
      <c r="Z11" s="70">
        <f t="shared" si="3"/>
        <v>5315.7429384418647</v>
      </c>
    </row>
    <row r="12" spans="1:26" ht="14.25" customHeight="1" x14ac:dyDescent="0.25">
      <c r="A12" s="10"/>
      <c r="B12" s="43"/>
      <c r="C12" s="43"/>
      <c r="D12" s="44"/>
      <c r="E12" s="45"/>
      <c r="F12" s="43"/>
      <c r="G12" s="43"/>
      <c r="H12" s="43"/>
      <c r="I12" s="43"/>
      <c r="M12" s="30">
        <v>6</v>
      </c>
      <c r="N12" s="34">
        <f t="shared" si="0"/>
        <v>147355.11009914381</v>
      </c>
      <c r="O12" s="35">
        <f t="shared" si="1"/>
        <v>0.14972399771654535</v>
      </c>
      <c r="P12" s="36">
        <f>'With Loan'!$D$38</f>
        <v>164029.71728699733</v>
      </c>
      <c r="Q12" s="37">
        <f>'With Loan'!$H$31</f>
        <v>3.5000000000000003E-2</v>
      </c>
      <c r="R12" s="38">
        <f>'With Loan'!$D$24</f>
        <v>505990</v>
      </c>
      <c r="S12" s="38">
        <f>'With Loan'!$D$40</f>
        <v>354193</v>
      </c>
      <c r="T12" s="39">
        <f t="shared" si="2"/>
        <v>116000.90257706121</v>
      </c>
      <c r="U12" s="39">
        <f>S12-_xlfn.XLOOKUP($M12*12,'30% Down Amortization'!$A$4:$A$363,'30% Down Amortization'!$E$4:$E$363,0,0,1)</f>
        <v>42999.113071825705</v>
      </c>
      <c r="V12" s="39">
        <f>(R12+T12)*'With Loan'!$H$36</f>
        <v>43539.363180394292</v>
      </c>
      <c r="W12" s="36">
        <f>'With Loan'!$I$27*'With Loan'!$M12</f>
        <v>31894.457630651188</v>
      </c>
      <c r="X12" s="34">
        <f t="shared" si="4"/>
        <v>5315.7429384418647</v>
      </c>
      <c r="Y12" s="80">
        <f>IF($H$32=$M12,R12+T12-V12-_xlfn.XLOOKUP(M12*12,'30% Down Amortization'!$A$4:$A$363,'30% Down Amortization'!$E$4:$E$363,0,0,1),0)</f>
        <v>0</v>
      </c>
      <c r="Z12" s="70">
        <f t="shared" si="3"/>
        <v>5315.7429384418647</v>
      </c>
    </row>
    <row r="13" spans="1:26" ht="14.25" customHeight="1" x14ac:dyDescent="0.25">
      <c r="A13" s="10"/>
      <c r="B13" s="43"/>
      <c r="C13" s="43"/>
      <c r="D13" s="44"/>
      <c r="E13" s="45"/>
      <c r="F13" s="43"/>
      <c r="G13" s="43"/>
      <c r="H13" s="43"/>
      <c r="I13" s="43"/>
      <c r="M13" s="30">
        <v>7</v>
      </c>
      <c r="N13" s="34">
        <f t="shared" si="0"/>
        <v>181069.94963527887</v>
      </c>
      <c r="O13" s="35">
        <f t="shared" si="1"/>
        <v>0.15769786164371563</v>
      </c>
      <c r="P13" s="36">
        <f>'With Loan'!$D$38</f>
        <v>164029.71728699733</v>
      </c>
      <c r="Q13" s="37">
        <f>'With Loan'!$H$31</f>
        <v>3.5000000000000003E-2</v>
      </c>
      <c r="R13" s="38">
        <f>'With Loan'!$D$24</f>
        <v>505990</v>
      </c>
      <c r="S13" s="38">
        <f>'With Loan'!$D$40</f>
        <v>354193</v>
      </c>
      <c r="T13" s="39">
        <f t="shared" si="2"/>
        <v>137770.58416725835</v>
      </c>
      <c r="U13" s="39">
        <f>S13-_xlfn.XLOOKUP($M13*12,'30% Down Amortization'!$A$4:$A$363,'30% Down Amortization'!$E$4:$E$363,0,0,1)</f>
        <v>51152.405790635559</v>
      </c>
      <c r="V13" s="39">
        <f>(R13+T13)*'With Loan'!$H$36</f>
        <v>45063.24089170809</v>
      </c>
      <c r="W13" s="36">
        <f>'With Loan'!$I$27*'With Loan'!$M13</f>
        <v>37210.200569093053</v>
      </c>
      <c r="X13" s="34">
        <f t="shared" si="4"/>
        <v>5315.7429384418647</v>
      </c>
      <c r="Y13" s="80">
        <f>IF($H$32=$M13,R13+T13-V13-_xlfn.XLOOKUP(M13*12,'30% Down Amortization'!$A$4:$A$363,'30% Down Amortization'!$E$4:$E$363,0,0,1),0)</f>
        <v>0</v>
      </c>
      <c r="Z13" s="70">
        <f t="shared" si="3"/>
        <v>5315.7429384418647</v>
      </c>
    </row>
    <row r="14" spans="1:26" ht="14.25" customHeight="1" x14ac:dyDescent="0.25">
      <c r="A14" s="10"/>
      <c r="B14" s="43"/>
      <c r="C14" s="43"/>
      <c r="D14" s="44"/>
      <c r="E14" s="45"/>
      <c r="F14" s="43"/>
      <c r="G14" s="43"/>
      <c r="H14" s="43"/>
      <c r="I14" s="43"/>
      <c r="M14" s="30">
        <v>8</v>
      </c>
      <c r="N14" s="34">
        <f t="shared" si="0"/>
        <v>215804.45096302516</v>
      </c>
      <c r="O14" s="35">
        <f t="shared" si="1"/>
        <v>0.16445530003066403</v>
      </c>
      <c r="P14" s="36">
        <f>'With Loan'!$D$38</f>
        <v>164029.71728699733</v>
      </c>
      <c r="Q14" s="37">
        <f>'With Loan'!$H$31</f>
        <v>3.5000000000000003E-2</v>
      </c>
      <c r="R14" s="38">
        <f>'With Loan'!$D$24</f>
        <v>505990</v>
      </c>
      <c r="S14" s="38">
        <f>'With Loan'!$D$40</f>
        <v>354193</v>
      </c>
      <c r="T14" s="39">
        <f t="shared" si="2"/>
        <v>160302.20461311226</v>
      </c>
      <c r="U14" s="39">
        <f>S14-_xlfn.XLOOKUP($M14*12,'30% Down Amortization'!$A$4:$A$363,'30% Down Amortization'!$E$4:$E$363,0,0,1)</f>
        <v>59616.757165295829</v>
      </c>
      <c r="V14" s="39">
        <f>(R14+T14)*'With Loan'!$H$36</f>
        <v>46640.45432291786</v>
      </c>
      <c r="W14" s="36">
        <f>'With Loan'!$I$27*'With Loan'!$M14</f>
        <v>42525.943507534917</v>
      </c>
      <c r="X14" s="34">
        <f t="shared" si="4"/>
        <v>5315.7429384418647</v>
      </c>
      <c r="Y14" s="80">
        <f>IF($H$32=$M14,R14+T14-V14-_xlfn.XLOOKUP(M14*12,'30% Down Amortization'!$A$4:$A$363,'30% Down Amortization'!$E$4:$E$363,0,0,1),0)</f>
        <v>0</v>
      </c>
      <c r="Z14" s="70">
        <f t="shared" si="3"/>
        <v>5315.7429384418647</v>
      </c>
    </row>
    <row r="15" spans="1:26" ht="14.25" customHeight="1" x14ac:dyDescent="0.25">
      <c r="A15" s="10"/>
      <c r="B15" s="43"/>
      <c r="C15" s="43"/>
      <c r="D15" s="44"/>
      <c r="E15" s="45"/>
      <c r="F15" s="43"/>
      <c r="G15" s="43"/>
      <c r="H15" s="43"/>
      <c r="I15" s="43"/>
      <c r="M15" s="30">
        <v>9</v>
      </c>
      <c r="N15" s="34">
        <f t="shared" si="0"/>
        <v>251595.28248191753</v>
      </c>
      <c r="O15" s="35">
        <f t="shared" si="1"/>
        <v>0.17042662664575431</v>
      </c>
      <c r="P15" s="36">
        <f>'With Loan'!$D$38</f>
        <v>164029.71728699733</v>
      </c>
      <c r="Q15" s="37">
        <f>'With Loan'!$H$31</f>
        <v>3.5000000000000003E-2</v>
      </c>
      <c r="R15" s="38">
        <f>'With Loan'!$D$24</f>
        <v>505990</v>
      </c>
      <c r="S15" s="38">
        <f>'With Loan'!$D$40</f>
        <v>354193</v>
      </c>
      <c r="T15" s="39">
        <f t="shared" si="2"/>
        <v>183622.43177457107</v>
      </c>
      <c r="U15" s="39">
        <f>S15-_xlfn.XLOOKUP($M15*12,'30% Down Amortization'!$A$4:$A$363,'30% Down Amortization'!$E$4:$E$363,0,0,1)</f>
        <v>68404.034485589655</v>
      </c>
      <c r="V15" s="39">
        <f>(R15+T15)*'With Loan'!$H$36</f>
        <v>48272.87022421998</v>
      </c>
      <c r="W15" s="36">
        <f>'With Loan'!$I$27*'With Loan'!$M15</f>
        <v>47841.686445976782</v>
      </c>
      <c r="X15" s="34">
        <f t="shared" si="4"/>
        <v>5315.7429384418647</v>
      </c>
      <c r="Y15" s="80">
        <f>IF($H$32=$M15,R15+T15-V15-_xlfn.XLOOKUP(M15*12,'30% Down Amortization'!$A$4:$A$363,'30% Down Amortization'!$E$4:$E$363,0,0,1),0)</f>
        <v>0</v>
      </c>
      <c r="Z15" s="70">
        <f t="shared" si="3"/>
        <v>5315.7429384418647</v>
      </c>
    </row>
    <row r="16" spans="1:26" ht="14.25" customHeight="1" x14ac:dyDescent="0.25">
      <c r="A16" s="10"/>
      <c r="B16" s="43"/>
      <c r="C16" s="43"/>
      <c r="D16" s="44"/>
      <c r="E16" s="45"/>
      <c r="F16" s="43"/>
      <c r="G16" s="43"/>
      <c r="H16" s="43"/>
      <c r="I16" s="43"/>
      <c r="M16" s="30">
        <v>10</v>
      </c>
      <c r="N16" s="34">
        <f t="shared" si="0"/>
        <v>288480.43338277633</v>
      </c>
      <c r="O16" s="35">
        <f t="shared" si="1"/>
        <v>0.17587083496463737</v>
      </c>
      <c r="P16" s="36">
        <f>'With Loan'!$D$38</f>
        <v>164029.71728699733</v>
      </c>
      <c r="Q16" s="37">
        <f>'With Loan'!$H$31</f>
        <v>3.5000000000000003E-2</v>
      </c>
      <c r="R16" s="38">
        <f>'With Loan'!$D$24</f>
        <v>505990</v>
      </c>
      <c r="S16" s="38">
        <f>'With Loan'!$D$40</f>
        <v>354193</v>
      </c>
      <c r="T16" s="39">
        <f t="shared" si="2"/>
        <v>207758.86688668106</v>
      </c>
      <c r="U16" s="39">
        <f>S16-_xlfn.XLOOKUP($M16*12,'30% Down Amortization'!$A$4:$A$363,'30% Down Amortization'!$E$4:$E$363,0,0,1)</f>
        <v>77526.557793744316</v>
      </c>
      <c r="V16" s="39">
        <f>(R16+T16)*'With Loan'!$H$36</f>
        <v>49962.420682067677</v>
      </c>
      <c r="W16" s="36">
        <f>'With Loan'!$I$27*'With Loan'!$M16</f>
        <v>53157.429384418647</v>
      </c>
      <c r="X16" s="34">
        <f t="shared" si="4"/>
        <v>5315.7429384418647</v>
      </c>
      <c r="Y16" s="80">
        <f>IF($H$32=$M16,R16+T16-V16-_xlfn.XLOOKUP(M16*12,'30% Down Amortization'!$A$4:$A$363,'30% Down Amortization'!$E$4:$E$363,0,0,1),0)</f>
        <v>0</v>
      </c>
      <c r="Z16" s="70">
        <f t="shared" si="3"/>
        <v>5315.7429384418647</v>
      </c>
    </row>
    <row r="17" spans="1:27" ht="14.25" customHeight="1" x14ac:dyDescent="0.25">
      <c r="A17" s="10"/>
      <c r="B17" s="43"/>
      <c r="C17" s="43"/>
      <c r="D17" s="44"/>
      <c r="E17" s="45"/>
      <c r="F17" s="43"/>
      <c r="G17" s="43"/>
      <c r="H17" s="43"/>
      <c r="I17" s="43"/>
      <c r="M17" s="30">
        <v>11</v>
      </c>
      <c r="N17" s="34">
        <f t="shared" si="0"/>
        <v>326499.26130215777</v>
      </c>
      <c r="O17" s="35">
        <f t="shared" si="1"/>
        <v>0.18095349744178194</v>
      </c>
      <c r="P17" s="36">
        <f>'With Loan'!$D$38</f>
        <v>164029.71728699733</v>
      </c>
      <c r="Q17" s="37">
        <f>'With Loan'!$H$31</f>
        <v>3.5000000000000003E-2</v>
      </c>
      <c r="R17" s="38">
        <f>'With Loan'!$D$24</f>
        <v>505990</v>
      </c>
      <c r="S17" s="38">
        <f>'With Loan'!$D$40</f>
        <v>354193</v>
      </c>
      <c r="T17" s="39">
        <f t="shared" si="2"/>
        <v>232740.07722771482</v>
      </c>
      <c r="U17" s="39">
        <f>S17-_xlfn.XLOOKUP($M17*12,'30% Down Amortization'!$A$4:$A$363,'30% Down Amortization'!$E$4:$E$363,0,0,1)</f>
        <v>86997.117157522473</v>
      </c>
      <c r="V17" s="39">
        <f>(R17+T17)*'With Loan'!$H$36</f>
        <v>51711.105405940041</v>
      </c>
      <c r="W17" s="36">
        <f>'With Loan'!$I$27*'With Loan'!$M17</f>
        <v>58473.172322860511</v>
      </c>
      <c r="X17" s="34">
        <f t="shared" si="4"/>
        <v>5315.7429384418647</v>
      </c>
      <c r="Y17" s="80">
        <f>IF($H$32=$M17,R17+T17-V17-_xlfn.XLOOKUP(M17*12,'30% Down Amortization'!$A$4:$A$363,'30% Down Amortization'!$E$4:$E$363,0,0,1),0)</f>
        <v>0</v>
      </c>
      <c r="Z17" s="70">
        <f t="shared" si="3"/>
        <v>5315.7429384418647</v>
      </c>
    </row>
    <row r="18" spans="1:27" ht="14.25" customHeight="1" x14ac:dyDescent="0.25">
      <c r="A18" s="10"/>
      <c r="B18" s="43"/>
      <c r="C18" s="43"/>
      <c r="D18" s="44"/>
      <c r="E18" s="45"/>
      <c r="F18" s="43"/>
      <c r="G18" s="43"/>
      <c r="H18" s="43"/>
      <c r="I18" s="43"/>
      <c r="M18" s="30">
        <v>12</v>
      </c>
      <c r="N18" s="34">
        <f t="shared" si="0"/>
        <v>365692.54169914336</v>
      </c>
      <c r="O18" s="35">
        <f t="shared" si="1"/>
        <v>0.18578571602125368</v>
      </c>
      <c r="P18" s="36">
        <f>'With Loan'!$D$38</f>
        <v>164029.71728699733</v>
      </c>
      <c r="Q18" s="37">
        <f>'With Loan'!$H$31</f>
        <v>3.5000000000000003E-2</v>
      </c>
      <c r="R18" s="38">
        <f>'With Loan'!$D$24</f>
        <v>505990</v>
      </c>
      <c r="S18" s="38">
        <f>'With Loan'!$D$40</f>
        <v>354193</v>
      </c>
      <c r="T18" s="39">
        <f t="shared" si="2"/>
        <v>258595.62993068481</v>
      </c>
      <c r="U18" s="39">
        <f>S18-_xlfn.XLOOKUP($M18*12,'30% Down Amortization'!$A$4:$A$363,'30% Down Amortization'!$E$4:$E$363,0,0,1)</f>
        <v>96828.990602304111</v>
      </c>
      <c r="V18" s="39">
        <f>(R18+T18)*'With Loan'!$H$36</f>
        <v>53520.994095147944</v>
      </c>
      <c r="W18" s="36">
        <f>'With Loan'!$I$27*'With Loan'!$M18</f>
        <v>63788.915261302376</v>
      </c>
      <c r="X18" s="34">
        <f t="shared" si="4"/>
        <v>5315.7429384418647</v>
      </c>
      <c r="Y18" s="80">
        <f>IF($H$32=$M18,R18+T18-V18-_xlfn.XLOOKUP(M18*12,'30% Down Amortization'!$A$4:$A$363,'30% Down Amortization'!$E$4:$E$363,0,0,1),0)</f>
        <v>0</v>
      </c>
      <c r="Z18" s="70">
        <f t="shared" si="3"/>
        <v>5315.7429384418647</v>
      </c>
    </row>
    <row r="19" spans="1:27" ht="14.25" customHeight="1" x14ac:dyDescent="0.25">
      <c r="A19" s="10"/>
      <c r="B19" s="43"/>
      <c r="C19" s="43"/>
      <c r="D19" s="44"/>
      <c r="E19" s="45"/>
      <c r="F19" s="43"/>
      <c r="G19" s="43"/>
      <c r="H19" s="43"/>
      <c r="I19" s="43"/>
      <c r="M19" s="30">
        <v>13</v>
      </c>
      <c r="N19" s="34">
        <f t="shared" si="0"/>
        <v>406102.51901682478</v>
      </c>
      <c r="O19" s="35">
        <f t="shared" si="1"/>
        <v>0.19044509632562062</v>
      </c>
      <c r="P19" s="36">
        <f>'With Loan'!$D$38</f>
        <v>164029.71728699733</v>
      </c>
      <c r="Q19" s="37">
        <f>'With Loan'!$H$31</f>
        <v>3.5000000000000003E-2</v>
      </c>
      <c r="R19" s="38">
        <f>'With Loan'!$D$24</f>
        <v>505990</v>
      </c>
      <c r="S19" s="38">
        <f>'With Loan'!$D$40</f>
        <v>354193</v>
      </c>
      <c r="T19" s="39">
        <f t="shared" si="2"/>
        <v>285356.1269782586</v>
      </c>
      <c r="U19" s="39">
        <f>S19-_xlfn.XLOOKUP($M19*12,'30% Down Amortization'!$A$4:$A$363,'30% Down Amortization'!$E$4:$E$363,0,0,1)</f>
        <v>107035.96272730004</v>
      </c>
      <c r="V19" s="39">
        <f>(R19+T19)*'With Loan'!$H$36</f>
        <v>55394.228888478108</v>
      </c>
      <c r="W19" s="36">
        <f>'With Loan'!$I$27*'With Loan'!$M19</f>
        <v>69104.658199744241</v>
      </c>
      <c r="X19" s="34">
        <f t="shared" si="4"/>
        <v>5315.7429384418647</v>
      </c>
      <c r="Y19" s="80">
        <f>IF($H$32=$M19,R19+T19-V19-_xlfn.XLOOKUP(M19*12,'30% Down Amortization'!$A$4:$A$363,'30% Down Amortization'!$E$4:$E$363,0,0,1),0)</f>
        <v>0</v>
      </c>
      <c r="Z19" s="70">
        <f t="shared" si="3"/>
        <v>5315.7429384418647</v>
      </c>
    </row>
    <row r="20" spans="1:27" ht="14.25" customHeight="1" x14ac:dyDescent="0.25">
      <c r="A20" s="10"/>
      <c r="B20" s="43"/>
      <c r="C20" s="43"/>
      <c r="D20" s="44"/>
      <c r="E20" s="45"/>
      <c r="F20" s="43"/>
      <c r="G20" s="43"/>
      <c r="H20" s="43"/>
      <c r="I20" s="43"/>
      <c r="M20" s="30">
        <v>14</v>
      </c>
      <c r="N20" s="34">
        <f t="shared" si="0"/>
        <v>447772.95969310735</v>
      </c>
      <c r="O20" s="35">
        <f t="shared" si="1"/>
        <v>0.19498773371206266</v>
      </c>
      <c r="P20" s="36">
        <f>'With Loan'!$D$38</f>
        <v>164029.71728699733</v>
      </c>
      <c r="Q20" s="37">
        <f>'With Loan'!$H$31</f>
        <v>3.5000000000000003E-2</v>
      </c>
      <c r="R20" s="38">
        <f>'With Loan'!$D$24</f>
        <v>505990</v>
      </c>
      <c r="S20" s="38">
        <f>'With Loan'!$D$40</f>
        <v>354193</v>
      </c>
      <c r="T20" s="39">
        <f t="shared" si="2"/>
        <v>313053.24142249778</v>
      </c>
      <c r="U20" s="39">
        <f>S20-_xlfn.XLOOKUP($M20*12,'30% Down Amortization'!$A$4:$A$363,'30% Down Amortization'!$E$4:$E$363,0,0,1)</f>
        <v>117632.34403199828</v>
      </c>
      <c r="V20" s="39">
        <f>(R20+T20)*'With Loan'!$H$36</f>
        <v>57333.026899574848</v>
      </c>
      <c r="W20" s="36">
        <f>'With Loan'!$I$27*'With Loan'!$M20</f>
        <v>74420.401138186106</v>
      </c>
      <c r="X20" s="34">
        <f t="shared" si="4"/>
        <v>5315.7429384418647</v>
      </c>
      <c r="Y20" s="80">
        <f>IF($H$32=$M20,R20+T20-V20-_xlfn.XLOOKUP(M20*12,'30% Down Amortization'!$A$4:$A$363,'30% Down Amortization'!$E$4:$E$363,0,0,1),0)</f>
        <v>0</v>
      </c>
      <c r="Z20" s="70">
        <f t="shared" si="3"/>
        <v>5315.7429384418647</v>
      </c>
    </row>
    <row r="21" spans="1:27" ht="14.25" customHeight="1" x14ac:dyDescent="0.25">
      <c r="A21" s="10"/>
      <c r="B21" s="43"/>
      <c r="C21" s="43"/>
      <c r="D21" s="44"/>
      <c r="E21" s="45"/>
      <c r="F21" s="43"/>
      <c r="G21" s="43"/>
      <c r="H21" s="43"/>
      <c r="I21" s="43"/>
      <c r="M21" s="40">
        <v>15</v>
      </c>
      <c r="N21" s="34">
        <f t="shared" si="0"/>
        <v>490749.20708779269</v>
      </c>
      <c r="O21" s="35">
        <f t="shared" si="1"/>
        <v>0.19945540568487158</v>
      </c>
      <c r="P21" s="36">
        <f>'With Loan'!$D$38</f>
        <v>164029.71728699733</v>
      </c>
      <c r="Q21" s="37">
        <f>'With Loan'!$H$31</f>
        <v>3.5000000000000003E-2</v>
      </c>
      <c r="R21" s="38">
        <f>'With Loan'!$D$24</f>
        <v>505990</v>
      </c>
      <c r="S21" s="38">
        <f>'With Loan'!$D$40</f>
        <v>354193</v>
      </c>
      <c r="T21" s="41">
        <f t="shared" si="2"/>
        <v>341719.75487228506</v>
      </c>
      <c r="U21" s="41">
        <f>S21-_xlfn.XLOOKUP($M21*12,'30% Down Amortization'!$A$4:$A$363,'30% Down Amortization'!$E$4:$E$363,0,0,1)</f>
        <v>128632.99097993961</v>
      </c>
      <c r="V21" s="39">
        <f>(R21+T21)*'With Loan'!$H$36</f>
        <v>59339.682841059963</v>
      </c>
      <c r="W21" s="36">
        <f>'With Loan'!$I$27*'With Loan'!$M21</f>
        <v>79736.14407662797</v>
      </c>
      <c r="X21" s="34">
        <f t="shared" si="4"/>
        <v>5315.7429384418647</v>
      </c>
      <c r="Y21" s="80">
        <f>IF($H$32=$M21,R21+T21-V21-_xlfn.XLOOKUP(M21*12,'30% Down Amortization'!$A$4:$A$363,'30% Down Amortization'!$E$4:$E$363,0,0,1),0)</f>
        <v>562810.06301116466</v>
      </c>
      <c r="Z21" s="70">
        <f t="shared" si="3"/>
        <v>568125.80594960647</v>
      </c>
      <c r="AA21" s="86"/>
    </row>
    <row r="22" spans="1:27" ht="14.25" customHeight="1" x14ac:dyDescent="0.25">
      <c r="A22" s="10"/>
      <c r="B22" s="43"/>
      <c r="C22" s="43"/>
      <c r="D22" s="44"/>
      <c r="E22" s="45"/>
      <c r="F22" s="43"/>
      <c r="G22" s="43"/>
      <c r="H22" s="43"/>
      <c r="I22" s="43"/>
      <c r="M22" s="30">
        <v>16</v>
      </c>
      <c r="N22" s="34">
        <f t="shared" si="0"/>
        <v>535078.23839533946</v>
      </c>
      <c r="O22" s="35">
        <f t="shared" si="1"/>
        <v>0.20388006790986343</v>
      </c>
      <c r="P22" s="36">
        <f>'With Loan'!$D$38</f>
        <v>164029.71728699733</v>
      </c>
      <c r="Q22" s="37">
        <f>'With Loan'!$H$31</f>
        <v>3.5000000000000003E-2</v>
      </c>
      <c r="R22" s="38">
        <f>'With Loan'!$D$24</f>
        <v>505990</v>
      </c>
      <c r="S22" s="38">
        <f>'With Loan'!$D$40</f>
        <v>354193</v>
      </c>
      <c r="T22" s="39">
        <f t="shared" si="2"/>
        <v>371389.59629281494</v>
      </c>
      <c r="U22" s="39">
        <f>S22-_xlfn.XLOOKUP($M22*12,'30% Down Amortization'!$A$4:$A$363,'30% Down Amortization'!$E$4:$E$363,0,0,1)</f>
        <v>140053.32682795174</v>
      </c>
      <c r="V22" s="39">
        <f>(R22+T22)*'With Loan'!$H$36</f>
        <v>61416.571740497049</v>
      </c>
      <c r="W22" s="36">
        <f>'With Loan'!$I$27*'With Loan'!$M22</f>
        <v>85051.887015069835</v>
      </c>
      <c r="X22" s="34">
        <f t="shared" si="4"/>
        <v>5315.7429384418647</v>
      </c>
      <c r="Y22" s="80">
        <f>IF($H$32=$M22,R22+T22-V22-_xlfn.XLOOKUP(M22*12,'30% Down Amortization'!$A$4:$A$363,'30% Down Amortization'!$E$4:$E$363,0,0,1),0)</f>
        <v>0</v>
      </c>
      <c r="Z22" s="70">
        <f t="shared" si="3"/>
        <v>0</v>
      </c>
    </row>
    <row r="23" spans="1:27" ht="18" x14ac:dyDescent="0.25">
      <c r="A23" s="10"/>
      <c r="B23" s="46" t="s">
        <v>13</v>
      </c>
      <c r="C23" s="46"/>
      <c r="D23" s="47"/>
      <c r="E23" s="48"/>
      <c r="F23" s="49"/>
      <c r="G23" s="46" t="s">
        <v>43</v>
      </c>
      <c r="H23" s="48" t="s">
        <v>46</v>
      </c>
      <c r="I23" s="48" t="s">
        <v>47</v>
      </c>
      <c r="M23" s="30">
        <v>17</v>
      </c>
      <c r="N23" s="34">
        <f t="shared" si="0"/>
        <v>580808.72361520655</v>
      </c>
      <c r="O23" s="35">
        <f t="shared" si="1"/>
        <v>0.20828676413805478</v>
      </c>
      <c r="P23" s="36">
        <f>'With Loan'!$D$38</f>
        <v>164029.71728699733</v>
      </c>
      <c r="Q23" s="37">
        <f>'With Loan'!$H$31</f>
        <v>3.5000000000000003E-2</v>
      </c>
      <c r="R23" s="38">
        <f>'With Loan'!$D$24</f>
        <v>505990</v>
      </c>
      <c r="S23" s="38">
        <f>'With Loan'!$D$40</f>
        <v>354193</v>
      </c>
      <c r="T23" s="39">
        <f t="shared" si="2"/>
        <v>402097.88216306339</v>
      </c>
      <c r="U23" s="39">
        <f>S23-_xlfn.XLOOKUP($M23*12,'30% Down Amortization'!$A$4:$A$363,'30% Down Amortization'!$E$4:$E$363,0,0,1)</f>
        <v>151909.3632500458</v>
      </c>
      <c r="V23" s="39">
        <f>(R23+T23)*'With Loan'!$H$36</f>
        <v>63566.151751414443</v>
      </c>
      <c r="W23" s="36">
        <f>'With Loan'!$I$27*'With Loan'!$M23</f>
        <v>90367.6299535117</v>
      </c>
      <c r="X23" s="34">
        <f t="shared" si="4"/>
        <v>5315.7429384418647</v>
      </c>
      <c r="Y23" s="80">
        <f>IF($H$32=$M23,R23+T23-V23-_xlfn.XLOOKUP(M23*12,'30% Down Amortization'!$A$4:$A$363,'30% Down Amortization'!$E$4:$E$363,0,0,1),0)</f>
        <v>0</v>
      </c>
      <c r="Z23" s="70">
        <f t="shared" si="3"/>
        <v>0</v>
      </c>
    </row>
    <row r="24" spans="1:27" x14ac:dyDescent="0.25">
      <c r="A24" s="10"/>
      <c r="B24" s="56" t="s">
        <v>28</v>
      </c>
      <c r="C24" s="56"/>
      <c r="D24" s="61">
        <f>D34</f>
        <v>505990</v>
      </c>
      <c r="E24" s="45"/>
      <c r="F24" s="43"/>
      <c r="G24" s="44" t="s">
        <v>48</v>
      </c>
      <c r="H24" s="50">
        <f>Summary!D11</f>
        <v>1775</v>
      </c>
      <c r="I24" s="53">
        <f>H24*12</f>
        <v>21300</v>
      </c>
      <c r="M24" s="30">
        <v>18</v>
      </c>
      <c r="N24" s="34">
        <f t="shared" si="0"/>
        <v>627991.08665430278</v>
      </c>
      <c r="O24" s="35">
        <f t="shared" si="1"/>
        <v>0.21269556687690783</v>
      </c>
      <c r="P24" s="36">
        <f>'With Loan'!$D$38</f>
        <v>164029.71728699733</v>
      </c>
      <c r="Q24" s="37">
        <f>'With Loan'!$H$31</f>
        <v>3.5000000000000003E-2</v>
      </c>
      <c r="R24" s="38">
        <f>'With Loan'!$D$24</f>
        <v>505990</v>
      </c>
      <c r="S24" s="38">
        <f>'With Loan'!$D$40</f>
        <v>354193</v>
      </c>
      <c r="T24" s="39">
        <f t="shared" si="2"/>
        <v>433880.95803877048</v>
      </c>
      <c r="U24" s="39">
        <f>S24-_xlfn.XLOOKUP($M24*12,'30% Down Amortization'!$A$4:$A$363,'30% Down Amortization'!$E$4:$E$363,0,0,1)</f>
        <v>164217.72278629267</v>
      </c>
      <c r="V24" s="39">
        <f>(R24+T24)*'With Loan'!$H$36</f>
        <v>65790.967062713942</v>
      </c>
      <c r="W24" s="36">
        <f>'With Loan'!$I$27*'With Loan'!$M24</f>
        <v>95683.372891953564</v>
      </c>
      <c r="X24" s="34">
        <f t="shared" si="4"/>
        <v>5315.7429384418647</v>
      </c>
      <c r="Y24" s="80">
        <f>IF($H$32=$M24,R24+T24-V24-_xlfn.XLOOKUP(M24*12,'30% Down Amortization'!$A$4:$A$363,'30% Down Amortization'!$E$4:$E$363,0,0,1),0)</f>
        <v>0</v>
      </c>
      <c r="Z24" s="70">
        <f t="shared" si="3"/>
        <v>0</v>
      </c>
    </row>
    <row r="25" spans="1:27" x14ac:dyDescent="0.25">
      <c r="A25" s="10"/>
      <c r="B25" s="56" t="s">
        <v>15</v>
      </c>
      <c r="C25" s="56"/>
      <c r="D25" s="61">
        <f>I25</f>
        <v>42600</v>
      </c>
      <c r="E25" s="45"/>
      <c r="F25" s="43"/>
      <c r="G25" s="44" t="s">
        <v>49</v>
      </c>
      <c r="H25" s="50">
        <f>H24*2</f>
        <v>3550</v>
      </c>
      <c r="I25" s="53">
        <f t="shared" ref="I25" si="5">H25*12</f>
        <v>42600</v>
      </c>
      <c r="M25" s="30">
        <v>19</v>
      </c>
      <c r="N25" s="34">
        <f t="shared" si="0"/>
        <v>676677.56863876618</v>
      </c>
      <c r="O25" s="35">
        <f t="shared" si="1"/>
        <v>0.21712290592692324</v>
      </c>
      <c r="P25" s="36">
        <f>'With Loan'!$D$38</f>
        <v>164029.71728699733</v>
      </c>
      <c r="Q25" s="37">
        <f>'With Loan'!$H$31</f>
        <v>3.5000000000000003E-2</v>
      </c>
      <c r="R25" s="38">
        <f>'With Loan'!$D$24</f>
        <v>505990</v>
      </c>
      <c r="S25" s="38">
        <f>'With Loan'!$D$40</f>
        <v>354193</v>
      </c>
      <c r="T25" s="39">
        <f t="shared" si="2"/>
        <v>466776.44157012738</v>
      </c>
      <c r="U25" s="39">
        <f>S25-_xlfn.XLOOKUP($M25*12,'30% Down Amortization'!$A$4:$A$363,'30% Down Amortization'!$E$4:$E$363,0,0,1)</f>
        <v>176995.66214815236</v>
      </c>
      <c r="V25" s="39">
        <f>(R25+T25)*'With Loan'!$H$36</f>
        <v>68093.650909908916</v>
      </c>
      <c r="W25" s="36">
        <f>'With Loan'!$I$27*'With Loan'!$M25</f>
        <v>100999.11583039543</v>
      </c>
      <c r="X25" s="34">
        <f t="shared" si="4"/>
        <v>5315.7429384418647</v>
      </c>
      <c r="Y25" s="80">
        <f>IF($H$32=$M25,R25+T25-V25-_xlfn.XLOOKUP(M25*12,'30% Down Amortization'!$A$4:$A$363,'30% Down Amortization'!$E$4:$E$363,0,0,1),0)</f>
        <v>0</v>
      </c>
      <c r="Z25" s="70">
        <f t="shared" si="3"/>
        <v>0</v>
      </c>
    </row>
    <row r="26" spans="1:27" x14ac:dyDescent="0.25">
      <c r="A26" s="10"/>
      <c r="B26" s="56" t="s">
        <v>38</v>
      </c>
      <c r="C26" s="56"/>
      <c r="D26" s="61">
        <f>D38</f>
        <v>164029.71728699733</v>
      </c>
      <c r="E26" s="45"/>
      <c r="F26" s="43"/>
      <c r="G26" s="44" t="s">
        <v>50</v>
      </c>
      <c r="H26" s="50">
        <f>D55</f>
        <v>3107.0214217965113</v>
      </c>
      <c r="I26" s="53">
        <f>E55</f>
        <v>37284.257061558135</v>
      </c>
      <c r="M26" s="30">
        <v>20</v>
      </c>
      <c r="N26" s="34">
        <f t="shared" si="0"/>
        <v>726922.29351509595</v>
      </c>
      <c r="O26" s="35">
        <f t="shared" si="1"/>
        <v>0.22158249905510238</v>
      </c>
      <c r="P26" s="36">
        <f>'With Loan'!$D$38</f>
        <v>164029.71728699733</v>
      </c>
      <c r="Q26" s="37">
        <f>'With Loan'!$H$31</f>
        <v>3.5000000000000003E-2</v>
      </c>
      <c r="R26" s="38">
        <f>'With Loan'!$D$24</f>
        <v>505990</v>
      </c>
      <c r="S26" s="38">
        <f>'With Loan'!$D$40</f>
        <v>354193</v>
      </c>
      <c r="T26" s="39">
        <f t="shared" si="2"/>
        <v>500823.26702508179</v>
      </c>
      <c r="U26" s="39">
        <f>S26-_xlfn.XLOOKUP($M26*12,'30% Down Amortization'!$A$4:$A$363,'30% Down Amortization'!$E$4:$E$363,0,0,1)</f>
        <v>190261.09641293262</v>
      </c>
      <c r="V26" s="39">
        <f>(R26+T26)*'With Loan'!$H$36</f>
        <v>70476.928691755733</v>
      </c>
      <c r="W26" s="36">
        <f>'With Loan'!$I$27*'With Loan'!$M26</f>
        <v>106314.85876883729</v>
      </c>
      <c r="X26" s="34">
        <f t="shared" si="4"/>
        <v>5315.7429384418647</v>
      </c>
      <c r="Y26" s="80">
        <f>IF($H$32=$M26,R26+T26-V26-_xlfn.XLOOKUP(M26*12,'30% Down Amortization'!$A$4:$A$363,'30% Down Amortization'!$E$4:$E$363,0,0,1),0)</f>
        <v>0</v>
      </c>
      <c r="Z26" s="70">
        <f t="shared" si="3"/>
        <v>0</v>
      </c>
    </row>
    <row r="27" spans="1:27" x14ac:dyDescent="0.25">
      <c r="A27" s="10"/>
      <c r="B27" s="56" t="s">
        <v>51</v>
      </c>
      <c r="C27" s="56"/>
      <c r="D27" s="61">
        <f>H27</f>
        <v>442.97857820348872</v>
      </c>
      <c r="E27" s="45"/>
      <c r="F27" s="43"/>
      <c r="G27" s="56" t="s">
        <v>78</v>
      </c>
      <c r="H27" s="58">
        <f>H25-H26</f>
        <v>442.97857820348872</v>
      </c>
      <c r="I27" s="59">
        <f>I25-I26</f>
        <v>5315.7429384418647</v>
      </c>
      <c r="M27" s="30">
        <v>21</v>
      </c>
      <c r="N27" s="34">
        <f t="shared" si="0"/>
        <v>778781.33602356829</v>
      </c>
      <c r="O27" s="35">
        <f t="shared" si="1"/>
        <v>0.22608601745039736</v>
      </c>
      <c r="P27" s="36">
        <f>'With Loan'!$D$38</f>
        <v>164029.71728699733</v>
      </c>
      <c r="Q27" s="37">
        <f>'With Loan'!$H$31</f>
        <v>3.5000000000000003E-2</v>
      </c>
      <c r="R27" s="38">
        <f>'With Loan'!$D$24</f>
        <v>505990</v>
      </c>
      <c r="S27" s="38">
        <f>'With Loan'!$D$40</f>
        <v>354193</v>
      </c>
      <c r="T27" s="39">
        <f t="shared" si="2"/>
        <v>536061.73137095943</v>
      </c>
      <c r="U27" s="39">
        <f>S27-_xlfn.XLOOKUP($M27*12,'30% Down Amortization'!$A$4:$A$363,'30% Down Amortization'!$E$4:$E$363,0,0,1)</f>
        <v>204032.62414129681</v>
      </c>
      <c r="V27" s="39">
        <f>(R27+T27)*'With Loan'!$H$36</f>
        <v>72943.621195967164</v>
      </c>
      <c r="W27" s="36">
        <f>'With Loan'!$I$27*'With Loan'!$M27</f>
        <v>111630.60170727916</v>
      </c>
      <c r="X27" s="34">
        <f t="shared" si="4"/>
        <v>5315.7429384418647</v>
      </c>
      <c r="Y27" s="80">
        <f>IF($H$32=$M27,R27+T27-V27-_xlfn.XLOOKUP(M27*12,'30% Down Amortization'!$A$4:$A$363,'30% Down Amortization'!$E$4:$E$363,0,0,1),0)</f>
        <v>0</v>
      </c>
      <c r="Z27" s="70">
        <f t="shared" si="3"/>
        <v>0</v>
      </c>
    </row>
    <row r="28" spans="1:27" x14ac:dyDescent="0.25">
      <c r="A28" s="10"/>
      <c r="B28" s="56" t="s">
        <v>53</v>
      </c>
      <c r="C28" s="56"/>
      <c r="D28" s="61">
        <f>H28</f>
        <v>655.97857820348872</v>
      </c>
      <c r="E28" s="45"/>
      <c r="F28" s="43"/>
      <c r="G28" s="56" t="s">
        <v>79</v>
      </c>
      <c r="H28" s="58">
        <f>H25-H26+D53+D54</f>
        <v>655.97857820348872</v>
      </c>
      <c r="I28" s="58">
        <f>I25-I26+E53+E54</f>
        <v>7871.7429384418647</v>
      </c>
      <c r="M28" s="30">
        <v>22</v>
      </c>
      <c r="N28" s="34">
        <f t="shared" si="0"/>
        <v>832312.79212987528</v>
      </c>
      <c r="O28" s="35">
        <f t="shared" si="1"/>
        <v>0.23064357037251346</v>
      </c>
      <c r="P28" s="36">
        <f>'With Loan'!$D$38</f>
        <v>164029.71728699733</v>
      </c>
      <c r="Q28" s="37">
        <f>'With Loan'!$H$31</f>
        <v>3.5000000000000003E-2</v>
      </c>
      <c r="R28" s="38">
        <f>'With Loan'!$D$24</f>
        <v>505990</v>
      </c>
      <c r="S28" s="38">
        <f>'With Loan'!$D$40</f>
        <v>354193</v>
      </c>
      <c r="T28" s="39">
        <f t="shared" si="2"/>
        <v>572533.54196894309</v>
      </c>
      <c r="U28" s="39">
        <f>S28-_xlfn.XLOOKUP($M28*12,'30% Down Amortization'!$A$4:$A$363,'30% Down Amortization'!$E$4:$E$363,0,0,1)</f>
        <v>218329.55345303717</v>
      </c>
      <c r="V28" s="39">
        <f>(R28+T28)*'With Loan'!$H$36</f>
        <v>75496.647937826026</v>
      </c>
      <c r="W28" s="36">
        <f>'With Loan'!$I$27*'With Loan'!$M28</f>
        <v>116946.34464572102</v>
      </c>
      <c r="X28" s="34">
        <f t="shared" si="4"/>
        <v>5315.7429384418647</v>
      </c>
      <c r="Y28" s="80">
        <f>IF($H$32=$M28,R28+T28-V28-_xlfn.XLOOKUP(M28*12,'30% Down Amortization'!$A$4:$A$363,'30% Down Amortization'!$E$4:$E$363,0,0,1),0)</f>
        <v>0</v>
      </c>
      <c r="Z28" s="70">
        <f t="shared" si="3"/>
        <v>0</v>
      </c>
    </row>
    <row r="29" spans="1:27" x14ac:dyDescent="0.25">
      <c r="A29" s="10"/>
      <c r="B29" s="56" t="s">
        <v>36</v>
      </c>
      <c r="C29" s="56"/>
      <c r="D29" s="61">
        <f>H39</f>
        <v>490749.20708779269</v>
      </c>
      <c r="E29" s="45"/>
      <c r="F29" s="43"/>
      <c r="G29" s="10"/>
      <c r="H29" s="10"/>
      <c r="I29" s="10"/>
      <c r="M29" s="30">
        <v>23</v>
      </c>
      <c r="N29" s="34">
        <f t="shared" si="0"/>
        <v>887576.85200404213</v>
      </c>
      <c r="O29" s="35">
        <f t="shared" si="1"/>
        <v>0.23526406404577938</v>
      </c>
      <c r="P29" s="36">
        <f>'With Loan'!$D$38</f>
        <v>164029.71728699733</v>
      </c>
      <c r="Q29" s="37">
        <f>'With Loan'!$H$31</f>
        <v>3.5000000000000003E-2</v>
      </c>
      <c r="R29" s="38">
        <f>'With Loan'!$D$24</f>
        <v>505990</v>
      </c>
      <c r="S29" s="38">
        <f>'With Loan'!$D$40</f>
        <v>354193</v>
      </c>
      <c r="T29" s="39">
        <f t="shared" si="2"/>
        <v>610281.86593785603</v>
      </c>
      <c r="U29" s="39">
        <f>S29-_xlfn.XLOOKUP($M29*12,'30% Down Amortization'!$A$4:$A$363,'30% Down Amortization'!$E$4:$E$363,0,0,1)</f>
        <v>233171.92909767316</v>
      </c>
      <c r="V29" s="39">
        <f>(R29+T29)*'With Loan'!$H$36</f>
        <v>78139.030615649928</v>
      </c>
      <c r="W29" s="36">
        <f>'With Loan'!$I$27*'With Loan'!$M29</f>
        <v>122262.08758416289</v>
      </c>
      <c r="X29" s="34">
        <f t="shared" si="4"/>
        <v>5315.7429384418647</v>
      </c>
      <c r="Y29" s="80">
        <f>IF($H$32=$M29,R29+T29-V29-_xlfn.XLOOKUP(M29*12,'30% Down Amortization'!$A$4:$A$363,'30% Down Amortization'!$E$4:$E$363,0,0,1),0)</f>
        <v>0</v>
      </c>
      <c r="Z29" s="70">
        <f t="shared" si="3"/>
        <v>0</v>
      </c>
    </row>
    <row r="30" spans="1:27" ht="18" x14ac:dyDescent="0.25">
      <c r="A30" s="10"/>
      <c r="B30" s="56" t="s">
        <v>55</v>
      </c>
      <c r="C30" s="56"/>
      <c r="D30" s="57">
        <f>H43</f>
        <v>0.19945540568487158</v>
      </c>
      <c r="E30" s="45"/>
      <c r="F30" s="43"/>
      <c r="G30" s="46" t="s">
        <v>37</v>
      </c>
      <c r="H30" s="48"/>
      <c r="I30" s="48"/>
      <c r="M30" s="30">
        <v>24</v>
      </c>
      <c r="N30" s="34">
        <f t="shared" si="0"/>
        <v>944635.87563891523</v>
      </c>
      <c r="O30" s="35">
        <f t="shared" si="1"/>
        <v>0.23995547150005073</v>
      </c>
      <c r="P30" s="36">
        <f>'With Loan'!$D$38</f>
        <v>164029.71728699733</v>
      </c>
      <c r="Q30" s="37">
        <f>'With Loan'!$H$31</f>
        <v>3.5000000000000003E-2</v>
      </c>
      <c r="R30" s="38">
        <f>'With Loan'!$D$24</f>
        <v>505990</v>
      </c>
      <c r="S30" s="38">
        <f>'With Loan'!$D$40</f>
        <v>354193</v>
      </c>
      <c r="T30" s="39">
        <f t="shared" si="2"/>
        <v>649351.38124568085</v>
      </c>
      <c r="U30" s="39">
        <f>S30-_xlfn.XLOOKUP($M30*12,'30% Down Amortization'!$A$4:$A$363,'30% Down Amortization'!$E$4:$E$363,0,0,1)</f>
        <v>248580.56055782735</v>
      </c>
      <c r="V30" s="39">
        <f>(R30+T30)*'With Loan'!$H$36</f>
        <v>80873.896687197674</v>
      </c>
      <c r="W30" s="36">
        <f>'With Loan'!$I$27*'With Loan'!$M30</f>
        <v>127577.83052260475</v>
      </c>
      <c r="X30" s="34">
        <f t="shared" si="4"/>
        <v>5315.7429384418647</v>
      </c>
      <c r="Y30" s="80">
        <f>IF($H$32=$M30,R30+T30-V30-_xlfn.XLOOKUP(M30*12,'30% Down Amortization'!$A$4:$A$363,'30% Down Amortization'!$E$4:$E$363,0,0,1),0)</f>
        <v>0</v>
      </c>
      <c r="Z30" s="70">
        <f t="shared" si="3"/>
        <v>0</v>
      </c>
    </row>
    <row r="31" spans="1:27" x14ac:dyDescent="0.25">
      <c r="A31" s="10"/>
      <c r="B31" s="56" t="s">
        <v>26</v>
      </c>
      <c r="D31" s="57">
        <f>H44</f>
        <v>0.1055962143223057</v>
      </c>
      <c r="F31" s="43"/>
      <c r="G31" s="44" t="s">
        <v>10</v>
      </c>
      <c r="H31" s="62">
        <f>Summary!D12</f>
        <v>3.5000000000000003E-2</v>
      </c>
      <c r="I31" s="45"/>
      <c r="M31" s="30">
        <v>25</v>
      </c>
      <c r="N31" s="34">
        <f t="shared" si="0"/>
        <v>1003554.4712038584</v>
      </c>
      <c r="O31" s="35">
        <f t="shared" si="1"/>
        <v>0.24472503831680026</v>
      </c>
      <c r="P31" s="36">
        <f>'With Loan'!$D$38</f>
        <v>164029.71728699733</v>
      </c>
      <c r="Q31" s="37">
        <f>'With Loan'!$H$31</f>
        <v>3.5000000000000003E-2</v>
      </c>
      <c r="R31" s="38">
        <f>'With Loan'!$D$24</f>
        <v>505990</v>
      </c>
      <c r="S31" s="38">
        <f>'With Loan'!$D$40</f>
        <v>354193</v>
      </c>
      <c r="T31" s="39">
        <f t="shared" si="2"/>
        <v>689788.32958927937</v>
      </c>
      <c r="U31" s="39">
        <f>S31-_xlfn.XLOOKUP($M31*12,'30% Down Amortization'!$A$4:$A$363,'30% Down Amortization'!$E$4:$E$363,0,0,1)</f>
        <v>264577.05122478202</v>
      </c>
      <c r="V31" s="39">
        <f>(R31+T31)*'With Loan'!$H$36</f>
        <v>83704.48307124956</v>
      </c>
      <c r="W31" s="36">
        <f>'With Loan'!$I$27*'With Loan'!$M31</f>
        <v>132893.57346104662</v>
      </c>
      <c r="X31" s="34">
        <f t="shared" si="4"/>
        <v>5315.7429384418647</v>
      </c>
      <c r="Y31" s="80">
        <f>IF($H$32=$M31,R31+T31-V31-_xlfn.XLOOKUP(M31*12,'30% Down Amortization'!$A$4:$A$363,'30% Down Amortization'!$E$4:$E$363,0,0,1),0)</f>
        <v>0</v>
      </c>
      <c r="Z31" s="70">
        <f t="shared" si="3"/>
        <v>0</v>
      </c>
    </row>
    <row r="32" spans="1:27" x14ac:dyDescent="0.25">
      <c r="A32" s="10"/>
      <c r="B32" s="56" t="s">
        <v>56</v>
      </c>
      <c r="C32" s="56"/>
      <c r="D32" s="57">
        <f>H45</f>
        <v>4.9407338140134517E-2</v>
      </c>
      <c r="E32" s="45"/>
      <c r="F32" s="43"/>
      <c r="G32" s="44" t="s">
        <v>57</v>
      </c>
      <c r="H32" s="79">
        <f>Summary!D13</f>
        <v>15</v>
      </c>
      <c r="I32" s="45"/>
      <c r="M32" s="30">
        <v>26</v>
      </c>
      <c r="N32" s="34">
        <f t="shared" si="0"/>
        <v>1064399.5762327698</v>
      </c>
      <c r="O32" s="35">
        <f t="shared" si="1"/>
        <v>0.24957944155992953</v>
      </c>
      <c r="P32" s="36">
        <f>'With Loan'!$D$38</f>
        <v>164029.71728699733</v>
      </c>
      <c r="Q32" s="37">
        <f>'With Loan'!$H$31</f>
        <v>3.5000000000000003E-2</v>
      </c>
      <c r="R32" s="38">
        <f>'With Loan'!$D$24</f>
        <v>505990</v>
      </c>
      <c r="S32" s="38">
        <f>'With Loan'!$D$40</f>
        <v>354193</v>
      </c>
      <c r="T32" s="39">
        <f t="shared" si="2"/>
        <v>731640.57112490432</v>
      </c>
      <c r="U32" s="39">
        <f>S32-_xlfn.XLOOKUP($M32*12,'30% Down Amortization'!$A$4:$A$363,'30% Down Amortization'!$E$4:$E$363,0,0,1)</f>
        <v>281183.82868712029</v>
      </c>
      <c r="V32" s="39">
        <f>(R32+T32)*'With Loan'!$H$36</f>
        <v>86634.139978743304</v>
      </c>
      <c r="W32" s="36">
        <f>'With Loan'!$I$27*'With Loan'!$M32</f>
        <v>138209.31639948848</v>
      </c>
      <c r="X32" s="34">
        <f t="shared" si="4"/>
        <v>5315.7429384418647</v>
      </c>
      <c r="Y32" s="80">
        <f>IF($H$32=$M32,R32+T32-V32-_xlfn.XLOOKUP(M32*12,'30% Down Amortization'!$A$4:$A$363,'30% Down Amortization'!$E$4:$E$363,0,0,1),0)</f>
        <v>0</v>
      </c>
      <c r="Z32" s="70">
        <f t="shared" si="3"/>
        <v>0</v>
      </c>
    </row>
    <row r="33" spans="1:26" ht="18" x14ac:dyDescent="0.25">
      <c r="A33" s="10"/>
      <c r="B33" s="46" t="s">
        <v>58</v>
      </c>
      <c r="C33" s="46"/>
      <c r="D33" s="47"/>
      <c r="E33" s="48"/>
      <c r="F33" s="43"/>
      <c r="G33" s="56" t="str">
        <f>CONCATENATE("Appreciation After ",H32," Years")</f>
        <v>Appreciation After 15 Years</v>
      </c>
      <c r="H33" s="58">
        <f>$D$34*(1+H31)^H32-$D$34</f>
        <v>341719.75487228506</v>
      </c>
      <c r="I33" s="45" t="s">
        <v>61</v>
      </c>
      <c r="M33" s="30">
        <v>27</v>
      </c>
      <c r="N33" s="34">
        <f t="shared" si="0"/>
        <v>1127240.541749126</v>
      </c>
      <c r="O33" s="35">
        <f t="shared" si="1"/>
        <v>0.25452491405178795</v>
      </c>
      <c r="P33" s="36">
        <f>'With Loan'!$D$38</f>
        <v>164029.71728699733</v>
      </c>
      <c r="Q33" s="37">
        <f>'With Loan'!$H$31</f>
        <v>3.5000000000000003E-2</v>
      </c>
      <c r="R33" s="38">
        <f>'With Loan'!$D$24</f>
        <v>505990</v>
      </c>
      <c r="S33" s="38">
        <f>'With Loan'!$D$40</f>
        <v>354193</v>
      </c>
      <c r="T33" s="39">
        <f t="shared" si="2"/>
        <v>774957.6411142759</v>
      </c>
      <c r="U33" s="39">
        <f>S33-_xlfn.XLOOKUP($M33*12,'30% Down Amortization'!$A$4:$A$363,'30% Down Amortization'!$E$4:$E$363,0,0,1)</f>
        <v>298424.17617491912</v>
      </c>
      <c r="V33" s="39">
        <f>(R33+T33)*'With Loan'!$H$36</f>
        <v>89666.334877999325</v>
      </c>
      <c r="W33" s="36">
        <f>'With Loan'!$I$27*'With Loan'!$M33</f>
        <v>143525.05933793035</v>
      </c>
      <c r="X33" s="34">
        <f t="shared" si="4"/>
        <v>5315.7429384418647</v>
      </c>
      <c r="Y33" s="80">
        <f>IF($H$32=$M33,R33+T33-V33-_xlfn.XLOOKUP(M33*12,'30% Down Amortization'!$A$4:$A$363,'30% Down Amortization'!$E$4:$E$363,0,0,1),0)</f>
        <v>0</v>
      </c>
      <c r="Z33" s="70">
        <f t="shared" si="3"/>
        <v>0</v>
      </c>
    </row>
    <row r="34" spans="1:26" x14ac:dyDescent="0.25">
      <c r="A34" s="10"/>
      <c r="B34" s="44" t="s">
        <v>28</v>
      </c>
      <c r="C34" s="44"/>
      <c r="D34" s="50">
        <f>Summary!D8</f>
        <v>505990</v>
      </c>
      <c r="E34" s="45"/>
      <c r="F34" s="43"/>
      <c r="I34" s="45"/>
      <c r="M34" s="30">
        <v>28</v>
      </c>
      <c r="N34" s="34">
        <f t="shared" si="0"/>
        <v>1192149.2194344958</v>
      </c>
      <c r="O34" s="35">
        <f t="shared" si="1"/>
        <v>0.25956734268127246</v>
      </c>
      <c r="P34" s="36">
        <f>'With Loan'!$D$38</f>
        <v>164029.71728699733</v>
      </c>
      <c r="Q34" s="37">
        <f>'With Loan'!$H$31</f>
        <v>3.5000000000000003E-2</v>
      </c>
      <c r="R34" s="38">
        <f>'With Loan'!$D$24</f>
        <v>505990</v>
      </c>
      <c r="S34" s="38">
        <f>'With Loan'!$D$40</f>
        <v>354193</v>
      </c>
      <c r="T34" s="39">
        <f t="shared" si="2"/>
        <v>819790.80855327542</v>
      </c>
      <c r="U34" s="39">
        <f>S34-_xlfn.XLOOKUP($M34*12,'30% Down Amortization'!$A$4:$A$363,'30% Down Amortization'!$E$4:$E$363,0,0,1)</f>
        <v>316322.26520357758</v>
      </c>
      <c r="V34" s="39">
        <f>(R34+T34)*'With Loan'!$H$36</f>
        <v>92804.656598729285</v>
      </c>
      <c r="W34" s="36">
        <f>'With Loan'!$I$27*'With Loan'!$M34</f>
        <v>148840.80227637221</v>
      </c>
      <c r="X34" s="34">
        <f t="shared" si="4"/>
        <v>5315.7429384418647</v>
      </c>
      <c r="Y34" s="80">
        <f>IF($H$32=$M34,R34+T34-V34-_xlfn.XLOOKUP(M34*12,'30% Down Amortization'!$A$4:$A$363,'30% Down Amortization'!$E$4:$E$363,0,0,1),0)</f>
        <v>0</v>
      </c>
      <c r="Z34" s="70">
        <f t="shared" si="3"/>
        <v>0</v>
      </c>
    </row>
    <row r="35" spans="1:26" x14ac:dyDescent="0.25">
      <c r="A35" s="10"/>
      <c r="B35" s="44" t="s">
        <v>59</v>
      </c>
      <c r="C35" s="81">
        <f>Summary!D9</f>
        <v>0.3</v>
      </c>
      <c r="D35" s="52">
        <f>C35*D34</f>
        <v>151797</v>
      </c>
      <c r="E35" s="45"/>
      <c r="F35" s="43"/>
      <c r="G35" s="56" t="s">
        <v>41</v>
      </c>
      <c r="H35" s="58">
        <f>D40-_xlfn.XLOOKUP($H$32*12,'30% Down Amortization'!$A$4:$A$363,'30% Down Amortization'!$E$4:$E$363,0,0,1)</f>
        <v>128632.99097993961</v>
      </c>
      <c r="I35" s="71"/>
      <c r="M35" s="30">
        <v>29</v>
      </c>
      <c r="N35" s="34">
        <f t="shared" si="0"/>
        <v>1259200.0519508198</v>
      </c>
      <c r="O35" s="35">
        <f t="shared" si="1"/>
        <v>0.26471234703531349</v>
      </c>
      <c r="P35" s="36">
        <f>'With Loan'!$D$38</f>
        <v>164029.71728699733</v>
      </c>
      <c r="Q35" s="37">
        <f>'With Loan'!$H$31</f>
        <v>3.5000000000000003E-2</v>
      </c>
      <c r="R35" s="38">
        <f>'With Loan'!$D$24</f>
        <v>505990</v>
      </c>
      <c r="S35" s="38">
        <f>'With Loan'!$D$40</f>
        <v>354193</v>
      </c>
      <c r="T35" s="39">
        <f t="shared" si="2"/>
        <v>866193.13685263996</v>
      </c>
      <c r="U35" s="39">
        <f>S35-_xlfn.XLOOKUP($M35*12,'30% Down Amortization'!$A$4:$A$363,'30% Down Amortization'!$E$4:$E$363,0,0,1)</f>
        <v>334903.18946305063</v>
      </c>
      <c r="V35" s="39">
        <f>(R35+T35)*'With Loan'!$H$36</f>
        <v>96052.819579684801</v>
      </c>
      <c r="W35" s="36">
        <f>'With Loan'!$I$27*'With Loan'!$M35</f>
        <v>154156.54521481408</v>
      </c>
      <c r="X35" s="34">
        <f t="shared" si="4"/>
        <v>5315.7429384418647</v>
      </c>
      <c r="Y35" s="80">
        <f>IF($H$32=$M35,R35+T35-V35-_xlfn.XLOOKUP(M35*12,'30% Down Amortization'!$A$4:$A$363,'30% Down Amortization'!$E$4:$E$363,0,0,1),0)</f>
        <v>0</v>
      </c>
      <c r="Z35" s="70">
        <f t="shared" si="3"/>
        <v>0</v>
      </c>
    </row>
    <row r="36" spans="1:26" x14ac:dyDescent="0.25">
      <c r="A36" s="10"/>
      <c r="B36" s="44" t="s">
        <v>62</v>
      </c>
      <c r="C36" s="44"/>
      <c r="D36" s="52">
        <f>'Closing Costs'!C28</f>
        <v>12232.717286997329</v>
      </c>
      <c r="E36" s="60"/>
      <c r="F36" s="43"/>
      <c r="G36" s="44" t="s">
        <v>60</v>
      </c>
      <c r="H36" s="51">
        <v>7.0000000000000007E-2</v>
      </c>
      <c r="I36" s="45"/>
      <c r="M36" s="30">
        <v>30</v>
      </c>
      <c r="N36" s="34">
        <f t="shared" si="0"/>
        <v>1328470.1665307644</v>
      </c>
      <c r="O36" s="35">
        <f t="shared" si="1"/>
        <v>0.26996534296818597</v>
      </c>
      <c r="P36" s="36">
        <f>'With Loan'!$D$38</f>
        <v>164029.71728699733</v>
      </c>
      <c r="Q36" s="37">
        <f>'With Loan'!$H$31</f>
        <v>3.5000000000000003E-2</v>
      </c>
      <c r="R36" s="38">
        <f>'With Loan'!$D$24</f>
        <v>505990</v>
      </c>
      <c r="S36" s="38">
        <f>'With Loan'!$D$40</f>
        <v>354193</v>
      </c>
      <c r="T36" s="39">
        <f t="shared" si="2"/>
        <v>914219.54664248228</v>
      </c>
      <c r="U36" s="39">
        <f>S36-_xlfn.XLOOKUP($M36*12,'30% Down Amortization'!$A$4:$A$363,'30% Down Amortization'!$E$4:$E$363,0,0,1)</f>
        <v>354192.99999999988</v>
      </c>
      <c r="V36" s="39">
        <f>(R36+T36)*'With Loan'!$H$36</f>
        <v>99414.668264973763</v>
      </c>
      <c r="W36" s="36">
        <f>'With Loan'!$I$27*'With Loan'!$M36</f>
        <v>159472.28815325594</v>
      </c>
      <c r="X36" s="34">
        <f t="shared" si="4"/>
        <v>5315.7429384418647</v>
      </c>
      <c r="Y36" s="80">
        <f>IF($H$32=$M36,R36+T36-V36-_xlfn.XLOOKUP(M36*12,'30% Down Amortization'!$A$4:$A$363,'30% Down Amortization'!$E$4:$E$363,0,0,1),0)</f>
        <v>0</v>
      </c>
      <c r="Z36" s="70">
        <f t="shared" si="3"/>
        <v>0</v>
      </c>
    </row>
    <row r="37" spans="1:26" x14ac:dyDescent="0.25">
      <c r="A37" s="10"/>
      <c r="B37" s="44" t="s">
        <v>63</v>
      </c>
      <c r="C37" s="44"/>
      <c r="D37" s="50">
        <v>0</v>
      </c>
      <c r="E37" s="45"/>
      <c r="F37" s="43"/>
      <c r="G37" s="44" t="s">
        <v>42</v>
      </c>
      <c r="H37" s="52">
        <f>(D34+H33)*$H$36</f>
        <v>59339.682841059963</v>
      </c>
      <c r="I37" s="45"/>
      <c r="N37" s="34"/>
      <c r="Z37" s="70"/>
    </row>
    <row r="38" spans="1:26" x14ac:dyDescent="0.25">
      <c r="A38" s="10"/>
      <c r="B38" s="56" t="s">
        <v>38</v>
      </c>
      <c r="C38" s="56"/>
      <c r="D38" s="61">
        <f>SUM(D35:D37)</f>
        <v>164029.71728699733</v>
      </c>
      <c r="E38" s="45"/>
      <c r="F38" s="43"/>
      <c r="G38" s="56" t="s">
        <v>17</v>
      </c>
      <c r="H38" s="64">
        <f>H32*I27</f>
        <v>79736.14407662797</v>
      </c>
      <c r="I38" s="45"/>
      <c r="Z38" s="70"/>
    </row>
    <row r="39" spans="1:26" ht="18" x14ac:dyDescent="0.25">
      <c r="A39" s="10"/>
      <c r="B39" s="46" t="s">
        <v>80</v>
      </c>
      <c r="C39" s="46"/>
      <c r="D39" s="48" t="s">
        <v>46</v>
      </c>
      <c r="E39" s="48" t="s">
        <v>47</v>
      </c>
      <c r="F39" s="43"/>
      <c r="G39" s="56" t="s">
        <v>36</v>
      </c>
      <c r="H39" s="58">
        <f>H38+H33+H35-H37</f>
        <v>490749.20708779269</v>
      </c>
      <c r="I39" s="45"/>
      <c r="Z39" s="70"/>
    </row>
    <row r="40" spans="1:26" x14ac:dyDescent="0.25">
      <c r="A40" s="10"/>
      <c r="B40" s="44" t="s">
        <v>39</v>
      </c>
      <c r="C40" s="44"/>
      <c r="D40" s="52">
        <f>D34-D35</f>
        <v>354193</v>
      </c>
      <c r="E40" s="45"/>
      <c r="F40" s="43"/>
      <c r="I40" s="45"/>
      <c r="Z40" s="70"/>
    </row>
    <row r="41" spans="1:26" x14ac:dyDescent="0.25">
      <c r="A41" s="10"/>
      <c r="B41" s="44" t="s">
        <v>81</v>
      </c>
      <c r="C41" s="44"/>
      <c r="D41" s="63">
        <f>Summary!D10</f>
        <v>3.7499999999999999E-2</v>
      </c>
      <c r="E41" s="45"/>
      <c r="F41" s="43"/>
      <c r="G41" s="56" t="s">
        <v>66</v>
      </c>
      <c r="H41" s="65">
        <f>((H38/D38)/H32)</f>
        <v>3.2407194417954685E-2</v>
      </c>
      <c r="I41" s="45"/>
      <c r="Z41" s="70"/>
    </row>
    <row r="42" spans="1:26" x14ac:dyDescent="0.25">
      <c r="A42" s="10"/>
      <c r="B42" s="44" t="s">
        <v>82</v>
      </c>
      <c r="C42" s="44"/>
      <c r="D42" s="55">
        <v>30</v>
      </c>
      <c r="E42" s="45"/>
      <c r="F42" s="43"/>
      <c r="G42" s="56" t="s">
        <v>68</v>
      </c>
      <c r="H42" s="65">
        <f>((I28*H32)/D38)/H32</f>
        <v>4.7989736668685092E-2</v>
      </c>
      <c r="I42" s="45"/>
      <c r="Z42" s="70"/>
    </row>
    <row r="43" spans="1:26" x14ac:dyDescent="0.25">
      <c r="A43" s="10"/>
      <c r="B43" s="56" t="s">
        <v>83</v>
      </c>
      <c r="C43" s="56"/>
      <c r="D43" s="61">
        <f>-PMT(D41/12,D42*12,$D$40,0,0)</f>
        <v>1640.3230072570666</v>
      </c>
      <c r="E43" s="59">
        <f>D43*12</f>
        <v>19683.876087084798</v>
      </c>
      <c r="F43" s="43"/>
      <c r="G43" s="56" t="s">
        <v>55</v>
      </c>
      <c r="H43" s="65">
        <f>H39/D38/H32</f>
        <v>0.19945540568487158</v>
      </c>
      <c r="I43" s="45"/>
    </row>
    <row r="44" spans="1:26" ht="18" x14ac:dyDescent="0.25">
      <c r="A44" s="10"/>
      <c r="B44" s="46" t="s">
        <v>64</v>
      </c>
      <c r="C44" s="46"/>
      <c r="D44" s="48" t="s">
        <v>46</v>
      </c>
      <c r="E44" s="48" t="s">
        <v>47</v>
      </c>
      <c r="F44" s="43"/>
      <c r="G44" s="56" t="s">
        <v>26</v>
      </c>
      <c r="H44" s="65">
        <f>IRR(Z6:Z36)</f>
        <v>0.1055962143223057</v>
      </c>
      <c r="I44" s="45"/>
    </row>
    <row r="45" spans="1:26" x14ac:dyDescent="0.25">
      <c r="A45" s="10"/>
      <c r="B45" s="44" t="s">
        <v>84</v>
      </c>
      <c r="C45" s="44"/>
      <c r="D45" s="52">
        <f>D43</f>
        <v>1640.3230072570666</v>
      </c>
      <c r="E45" s="53">
        <f>E43</f>
        <v>19683.876087084798</v>
      </c>
      <c r="F45" s="43"/>
      <c r="G45" s="56" t="s">
        <v>56</v>
      </c>
      <c r="H45" s="65">
        <f>(I25-E55+E45)/D34</f>
        <v>4.9407338140134517E-2</v>
      </c>
    </row>
    <row r="46" spans="1:26" x14ac:dyDescent="0.25">
      <c r="A46" s="10"/>
      <c r="B46" s="44" t="s">
        <v>65</v>
      </c>
      <c r="C46" s="82">
        <v>2.0030539999999999E-2</v>
      </c>
      <c r="D46" s="52">
        <f>C46*0.9*D34/12</f>
        <v>760.14397009499999</v>
      </c>
      <c r="E46" s="53">
        <f>D46*12</f>
        <v>9121.7276411399998</v>
      </c>
      <c r="F46" s="43"/>
      <c r="G46" s="10"/>
      <c r="H46" s="10"/>
      <c r="I46" s="10"/>
    </row>
    <row r="47" spans="1:26" ht="18" x14ac:dyDescent="0.25">
      <c r="A47" s="10"/>
      <c r="B47" s="44" t="s">
        <v>85</v>
      </c>
      <c r="C47" s="44"/>
      <c r="D47" s="50">
        <v>105</v>
      </c>
      <c r="E47" s="53">
        <f>D47*12</f>
        <v>1260</v>
      </c>
      <c r="F47" s="43"/>
      <c r="G47" s="46" t="s">
        <v>74</v>
      </c>
      <c r="H47" s="48"/>
      <c r="I47" s="48"/>
    </row>
    <row r="48" spans="1:26" x14ac:dyDescent="0.25">
      <c r="A48" s="10"/>
      <c r="B48" s="56" t="s">
        <v>86</v>
      </c>
      <c r="C48" s="44"/>
      <c r="D48" s="20">
        <f>SUM(D45:D47)</f>
        <v>2505.4669773520664</v>
      </c>
      <c r="E48" s="20">
        <f>SUM(E45:E47)</f>
        <v>30065.6037282248</v>
      </c>
      <c r="F48" s="43"/>
      <c r="G48" s="56" t="s">
        <v>75</v>
      </c>
      <c r="H48" s="66"/>
      <c r="I48" s="58">
        <f>(D34-68000)/27.5</f>
        <v>15926.90909090909</v>
      </c>
    </row>
    <row r="49" spans="1:9" x14ac:dyDescent="0.25">
      <c r="A49" s="10"/>
      <c r="B49" s="10"/>
      <c r="C49" s="10"/>
      <c r="D49" s="17"/>
      <c r="E49" s="16"/>
      <c r="F49" s="43"/>
      <c r="G49" s="10"/>
      <c r="H49" s="10"/>
      <c r="I49" s="10"/>
    </row>
    <row r="50" spans="1:9" ht="18" x14ac:dyDescent="0.25">
      <c r="A50" s="10"/>
      <c r="B50" s="44" t="s">
        <v>69</v>
      </c>
      <c r="C50" s="44"/>
      <c r="D50" s="50">
        <f>1000/12</f>
        <v>83.333333333333329</v>
      </c>
      <c r="E50" s="53">
        <f>D50*12</f>
        <v>1000</v>
      </c>
      <c r="F50" s="43"/>
      <c r="G50" s="46" t="s">
        <v>87</v>
      </c>
      <c r="H50" s="48"/>
      <c r="I50" s="48"/>
    </row>
    <row r="51" spans="1:9" x14ac:dyDescent="0.25">
      <c r="A51" s="10"/>
      <c r="B51" s="44" t="s">
        <v>70</v>
      </c>
      <c r="C51" s="81">
        <v>0.06</v>
      </c>
      <c r="D51" s="52">
        <f>(H25-D53)*C51</f>
        <v>206.60999999999999</v>
      </c>
      <c r="E51" s="53">
        <f>D51*12</f>
        <v>2479.3199999999997</v>
      </c>
      <c r="F51" s="43"/>
      <c r="G51" s="44" t="s">
        <v>88</v>
      </c>
      <c r="H51" s="44"/>
      <c r="I51" s="67">
        <v>6</v>
      </c>
    </row>
    <row r="52" spans="1:9" x14ac:dyDescent="0.25">
      <c r="A52" s="10"/>
      <c r="B52" s="44" t="s">
        <v>89</v>
      </c>
      <c r="C52" s="81">
        <v>0.5</v>
      </c>
      <c r="D52" s="52">
        <f>(C52*H25)/18</f>
        <v>98.611111111111114</v>
      </c>
      <c r="E52" s="53">
        <f>D52*12</f>
        <v>1183.3333333333335</v>
      </c>
      <c r="F52" s="43"/>
      <c r="G52" s="56" t="s">
        <v>87</v>
      </c>
      <c r="H52" s="68"/>
      <c r="I52" s="58">
        <f>MIN((D55-D51-D53),3500)*I51</f>
        <v>16763.468530779068</v>
      </c>
    </row>
    <row r="53" spans="1:9" x14ac:dyDescent="0.25">
      <c r="A53" s="10"/>
      <c r="B53" s="44" t="s">
        <v>72</v>
      </c>
      <c r="C53" s="81">
        <v>0.03</v>
      </c>
      <c r="D53" s="52">
        <f>C53*H25</f>
        <v>106.5</v>
      </c>
      <c r="E53" s="53">
        <f>D53*12</f>
        <v>1278</v>
      </c>
      <c r="F53" s="43"/>
      <c r="G53" s="10"/>
      <c r="H53" s="10"/>
      <c r="I53" s="10"/>
    </row>
    <row r="54" spans="1:9" x14ac:dyDescent="0.25">
      <c r="A54" s="10"/>
      <c r="B54" s="44" t="s">
        <v>90</v>
      </c>
      <c r="C54" s="81">
        <v>0.03</v>
      </c>
      <c r="D54" s="52">
        <f>C54*H25</f>
        <v>106.5</v>
      </c>
      <c r="E54" s="53">
        <f>D54*12</f>
        <v>1278</v>
      </c>
      <c r="F54" s="43"/>
      <c r="G54" s="10"/>
      <c r="H54" s="10"/>
      <c r="I54" s="10"/>
    </row>
    <row r="55" spans="1:9" x14ac:dyDescent="0.25">
      <c r="A55" s="10"/>
      <c r="B55" s="56" t="s">
        <v>50</v>
      </c>
      <c r="C55" s="56"/>
      <c r="D55" s="58">
        <f>SUM(D48:D54)</f>
        <v>3107.0214217965113</v>
      </c>
      <c r="E55" s="58">
        <f>SUM(E48:E54)</f>
        <v>37284.257061558135</v>
      </c>
      <c r="F55" s="43"/>
      <c r="G55" s="10"/>
      <c r="H55" s="10"/>
      <c r="I55" s="10"/>
    </row>
    <row r="56" spans="1:9" x14ac:dyDescent="0.25">
      <c r="A56" s="10"/>
      <c r="B56" s="10"/>
      <c r="C56" s="10"/>
      <c r="D56" s="17"/>
      <c r="E56" s="16"/>
      <c r="F56" s="43"/>
      <c r="G56" s="10"/>
      <c r="H56" s="10"/>
      <c r="I56" s="10"/>
    </row>
    <row r="57" spans="1:9" x14ac:dyDescent="0.25">
      <c r="A57" s="10"/>
      <c r="B57" s="44"/>
      <c r="C57" s="44"/>
      <c r="D57" s="50"/>
      <c r="E57" s="53"/>
      <c r="F57" s="43"/>
      <c r="G57" s="10"/>
      <c r="H57" s="10"/>
      <c r="I57" s="10"/>
    </row>
    <row r="58" spans="1:9" x14ac:dyDescent="0.25">
      <c r="A58" s="10"/>
      <c r="B58" s="18" t="s">
        <v>76</v>
      </c>
      <c r="C58" s="18"/>
      <c r="D58" s="17"/>
      <c r="E58" s="16"/>
      <c r="F58" s="10"/>
      <c r="G58" s="10"/>
      <c r="H58" s="10"/>
      <c r="I58" s="10"/>
    </row>
    <row r="59" spans="1:9" ht="55.9" customHeight="1" x14ac:dyDescent="0.25">
      <c r="A59" s="10"/>
      <c r="B59" s="111" t="s">
        <v>77</v>
      </c>
      <c r="C59" s="111"/>
      <c r="D59" s="111"/>
      <c r="E59" s="111"/>
      <c r="F59" s="111"/>
      <c r="G59" s="111"/>
      <c r="H59" s="111"/>
      <c r="I59" s="111"/>
    </row>
    <row r="60" spans="1:9" ht="18" x14ac:dyDescent="0.25">
      <c r="A60" s="10"/>
      <c r="B60" s="110" t="s">
        <v>33</v>
      </c>
      <c r="C60" s="110"/>
      <c r="D60" s="110"/>
      <c r="E60" s="110"/>
      <c r="F60" s="110"/>
      <c r="G60" s="110"/>
      <c r="H60" s="110"/>
      <c r="I60" s="110"/>
    </row>
    <row r="61" spans="1:9" x14ac:dyDescent="0.25">
      <c r="F61" s="10"/>
    </row>
    <row r="62" spans="1:9" x14ac:dyDescent="0.25">
      <c r="F62" s="10"/>
    </row>
    <row r="63" spans="1:9" x14ac:dyDescent="0.25">
      <c r="F63" s="10"/>
    </row>
    <row r="64" spans="1:9" x14ac:dyDescent="0.25">
      <c r="F64" s="10"/>
    </row>
    <row r="65" spans="6:6" x14ac:dyDescent="0.25">
      <c r="F65" s="10"/>
    </row>
    <row r="66" spans="6:6" x14ac:dyDescent="0.25">
      <c r="F66" s="10"/>
    </row>
    <row r="67" spans="6:6" x14ac:dyDescent="0.25">
      <c r="F67" s="10"/>
    </row>
    <row r="68" spans="6:6" x14ac:dyDescent="0.25">
      <c r="F68" s="10"/>
    </row>
  </sheetData>
  <sheetProtection selectLockedCells="1"/>
  <mergeCells count="6">
    <mergeCell ref="B60:I60"/>
    <mergeCell ref="B3:I3"/>
    <mergeCell ref="B1:I1"/>
    <mergeCell ref="B2:I2"/>
    <mergeCell ref="B4:I4"/>
    <mergeCell ref="B59:I59"/>
  </mergeCells>
  <pageMargins left="0.7" right="0.7" top="0.75" bottom="0.75" header="0.3" footer="0.3"/>
  <pageSetup scale="57" orientation="portrait" r:id="rId1"/>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F8CF3207-B10D-4B80-8F02-1AE1D0E2196C}">
          <x14:formula1>
            <xm:f>DAta!$H$2:$H$7</xm:f>
          </x14:formula1>
          <xm:sqref>I51</xm:sqref>
        </x14:dataValidation>
        <x14:dataValidation type="list" allowBlank="1" showInputMessage="1" showErrorMessage="1" xr:uid="{6C9A5CE5-8D98-4AF3-AEA5-695A66A1EFAD}">
          <x14:formula1>
            <xm:f>DAta!$F$2:$F$12</xm:f>
          </x14:formula1>
          <xm:sqref>C51</xm:sqref>
        </x14:dataValidation>
        <x14:dataValidation type="list" allowBlank="1" showInputMessage="1" showErrorMessage="1" xr:uid="{C774F02B-450C-43D8-B02E-BCEC7076DE27}">
          <x14:formula1>
            <xm:f>DAta!$H$2:$H$31</xm:f>
          </x14:formula1>
          <xm:sqref>H32</xm:sqref>
        </x14:dataValidation>
        <x14:dataValidation type="list" allowBlank="1" showInputMessage="1" showErrorMessage="1" xr:uid="{9B0933B4-BBD2-4ED5-9A4E-2C7FD8C4978D}">
          <x14:formula1>
            <xm:f>DAta!$E$2:$E$11</xm:f>
          </x14:formula1>
          <xm:sqref>C54</xm:sqref>
        </x14:dataValidation>
        <x14:dataValidation type="list" allowBlank="1" showInputMessage="1" showErrorMessage="1" xr:uid="{DC98E49C-C163-443E-86C2-D08DE089F76A}">
          <x14:formula1>
            <xm:f>DAta!$C$2:$C$11</xm:f>
          </x14:formula1>
          <xm:sqref>C53</xm:sqref>
        </x14:dataValidation>
        <x14:dataValidation type="list" allowBlank="1" showInputMessage="1" showErrorMessage="1" xr:uid="{F6E919F1-45C0-410C-AAAD-2EF75E7F6EAE}">
          <x14:formula1>
            <xm:f>DAta!$A$2:$A$23</xm:f>
          </x14:formula1>
          <xm:sqref>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3F3-A1E6-45C1-8DCD-77FB45BCDC03}">
  <sheetPr>
    <pageSetUpPr fitToPage="1"/>
  </sheetPr>
  <dimension ref="A1:Z69"/>
  <sheetViews>
    <sheetView zoomScale="85" zoomScaleNormal="85" workbookViewId="0">
      <selection activeCell="B5" sqref="B5"/>
    </sheetView>
  </sheetViews>
  <sheetFormatPr defaultRowHeight="15" x14ac:dyDescent="0.25"/>
  <cols>
    <col min="1" max="1" width="3" customWidth="1"/>
    <col min="2" max="2" width="50.28515625" bestFit="1" customWidth="1"/>
    <col min="3" max="3" width="12.5703125" customWidth="1"/>
    <col min="4" max="4" width="12.7109375" style="8" customWidth="1"/>
    <col min="5" max="5" width="13.140625" style="9" customWidth="1"/>
    <col min="6" max="6" width="5.28515625" customWidth="1"/>
    <col min="7" max="7" width="54.42578125" customWidth="1"/>
    <col min="8" max="8" width="14.140625" bestFit="1" customWidth="1"/>
    <col min="9" max="9" width="13.140625" customWidth="1"/>
    <col min="10" max="10" width="13.42578125" bestFit="1" customWidth="1"/>
    <col min="12" max="12" width="9" style="30" customWidth="1"/>
    <col min="13" max="13" width="9.28515625" style="30" hidden="1" customWidth="1"/>
    <col min="14" max="14" width="20.28515625" style="30" hidden="1" customWidth="1"/>
    <col min="15" max="15" width="20.85546875" style="30" hidden="1" customWidth="1"/>
    <col min="16" max="16" width="23.42578125" style="30" hidden="1" customWidth="1"/>
    <col min="17" max="17" width="17.5703125" style="30" hidden="1" customWidth="1"/>
    <col min="18" max="18" width="9.5703125" style="30" hidden="1" customWidth="1"/>
    <col min="19" max="19" width="12.7109375" style="30" hidden="1" customWidth="1"/>
    <col min="20" max="20" width="12.5703125" style="30" hidden="1" customWidth="1"/>
    <col min="21" max="21" width="17.5703125" style="30" hidden="1" customWidth="1"/>
    <col min="22" max="22" width="16.42578125" style="30" hidden="1" customWidth="1"/>
    <col min="23" max="23" width="24.140625" style="30" hidden="1" customWidth="1"/>
    <col min="24" max="26" width="11" bestFit="1" customWidth="1"/>
  </cols>
  <sheetData>
    <row r="1" spans="1:23" x14ac:dyDescent="0.25">
      <c r="A1" s="10"/>
      <c r="B1" s="112"/>
      <c r="C1" s="112"/>
      <c r="D1" s="112"/>
      <c r="E1" s="112"/>
      <c r="F1" s="112"/>
      <c r="G1" s="112"/>
      <c r="H1" s="112"/>
      <c r="I1" s="112"/>
    </row>
    <row r="2" spans="1:23" x14ac:dyDescent="0.25">
      <c r="A2" s="10"/>
      <c r="B2" s="112"/>
      <c r="C2" s="112"/>
      <c r="D2" s="112"/>
      <c r="E2" s="112"/>
      <c r="F2" s="112"/>
      <c r="G2" s="112"/>
      <c r="H2" s="112"/>
      <c r="I2" s="112"/>
    </row>
    <row r="3" spans="1:23" ht="23.25" customHeight="1" x14ac:dyDescent="0.25">
      <c r="A3" s="10"/>
      <c r="B3" s="112"/>
      <c r="C3" s="112"/>
      <c r="D3" s="112"/>
      <c r="E3" s="112"/>
      <c r="F3" s="112"/>
      <c r="G3" s="112"/>
      <c r="H3" s="112"/>
      <c r="I3" s="112"/>
    </row>
    <row r="4" spans="1:23" ht="22.5" x14ac:dyDescent="0.3">
      <c r="A4" s="10"/>
      <c r="B4" s="113" t="s">
        <v>34</v>
      </c>
      <c r="C4" s="113"/>
      <c r="D4" s="113"/>
      <c r="E4" s="113"/>
      <c r="F4" s="113"/>
      <c r="G4" s="113"/>
      <c r="H4" s="113"/>
      <c r="I4" s="113"/>
      <c r="T4" s="39"/>
    </row>
    <row r="5" spans="1:23" x14ac:dyDescent="0.25">
      <c r="A5" s="10"/>
      <c r="B5" s="43"/>
      <c r="C5" s="43"/>
      <c r="D5" s="44"/>
      <c r="E5" s="45"/>
      <c r="F5" s="43"/>
      <c r="G5" s="43"/>
      <c r="H5" s="43"/>
      <c r="I5" s="43"/>
      <c r="M5" s="31" t="s">
        <v>35</v>
      </c>
      <c r="N5" s="31" t="s">
        <v>36</v>
      </c>
      <c r="O5" s="32" t="s">
        <v>37</v>
      </c>
      <c r="P5" s="31" t="s">
        <v>38</v>
      </c>
      <c r="Q5" s="31" t="s">
        <v>10</v>
      </c>
      <c r="R5" s="31" t="s">
        <v>6</v>
      </c>
      <c r="S5" s="31" t="s">
        <v>39</v>
      </c>
      <c r="T5" s="31" t="s">
        <v>40</v>
      </c>
      <c r="U5" s="31" t="s">
        <v>41</v>
      </c>
      <c r="V5" s="31" t="s">
        <v>42</v>
      </c>
      <c r="W5" s="33" t="s">
        <v>91</v>
      </c>
    </row>
    <row r="6" spans="1:23" ht="14.25" customHeight="1" x14ac:dyDescent="0.25">
      <c r="A6" s="10"/>
      <c r="B6" s="43"/>
      <c r="C6" s="43"/>
      <c r="D6" s="44"/>
      <c r="E6" s="45"/>
      <c r="F6" s="43"/>
      <c r="G6" s="43"/>
      <c r="H6" s="43"/>
      <c r="I6" s="43"/>
      <c r="M6" s="30">
        <v>0</v>
      </c>
    </row>
    <row r="7" spans="1:23" ht="14.25" customHeight="1" x14ac:dyDescent="0.25">
      <c r="A7" s="10"/>
      <c r="B7" s="43"/>
      <c r="C7" s="43"/>
      <c r="D7" s="44"/>
      <c r="E7" s="45"/>
      <c r="F7" s="43"/>
      <c r="G7" s="43"/>
      <c r="H7" s="43"/>
      <c r="I7" s="43"/>
      <c r="M7" s="30">
        <v>1</v>
      </c>
      <c r="N7" s="34">
        <f>T7+U7-V7</f>
        <v>-10717.571029419661</v>
      </c>
      <c r="O7" s="35">
        <f t="shared" ref="O7:O32" si="0">N7/P7/M7</f>
        <v>-0.35794000276236798</v>
      </c>
      <c r="P7" s="36">
        <f>'Owner Occupier'!$D$38</f>
        <v>29942.367286997331</v>
      </c>
      <c r="Q7" s="37">
        <f>'Owner Occupier'!$H$30</f>
        <v>3.5000000000000003E-2</v>
      </c>
      <c r="R7" s="38">
        <f>'Owner Occupier'!$D$24</f>
        <v>505990</v>
      </c>
      <c r="S7" s="38">
        <f>'Owner Occupier'!$D$40</f>
        <v>488280.35</v>
      </c>
      <c r="T7" s="39">
        <f t="shared" ref="T7:T36" si="1">$R$7*(1+Q7)^M7-$R$7</f>
        <v>17709.649999999965</v>
      </c>
      <c r="U7" s="39">
        <f>S7-_xlfn.XLOOKUP($M7*12,'FHA Amotization'!$A$4:$A$363,'FHA Amotization'!$E$4:$E$363,0,0,1)</f>
        <v>8231.7544705803739</v>
      </c>
      <c r="V7" s="39">
        <f>(R7+T7)*'Owner Occupier'!$H$35</f>
        <v>36658.9755</v>
      </c>
      <c r="W7" s="36">
        <f t="shared" ref="W7:W36" si="2">$I$26*M7</f>
        <v>-23236.305046236921</v>
      </c>
    </row>
    <row r="8" spans="1:23" ht="14.25" customHeight="1" x14ac:dyDescent="0.25">
      <c r="A8" s="10"/>
      <c r="B8" s="43"/>
      <c r="C8" s="43"/>
      <c r="D8" s="44"/>
      <c r="E8" s="45"/>
      <c r="F8" s="43"/>
      <c r="G8" s="43"/>
      <c r="H8" s="43"/>
      <c r="I8" s="43"/>
      <c r="M8" s="30">
        <v>2</v>
      </c>
      <c r="N8" s="34">
        <f t="shared" ref="N8:N36" si="3">T8+U8-V8</f>
        <v>14917.352488637029</v>
      </c>
      <c r="O8" s="35">
        <f t="shared" si="0"/>
        <v>0.24910108719284507</v>
      </c>
      <c r="P8" s="36">
        <f>'Owner Occupier'!$D$38</f>
        <v>29942.367286997331</v>
      </c>
      <c r="Q8" s="37">
        <f>'Owner Occupier'!$H$30</f>
        <v>3.5000000000000003E-2</v>
      </c>
      <c r="R8" s="38">
        <f>'Owner Occupier'!$D$24</f>
        <v>505990</v>
      </c>
      <c r="S8" s="38">
        <f>'Owner Occupier'!$D$40</f>
        <v>488280.35</v>
      </c>
      <c r="T8" s="39">
        <f t="shared" si="1"/>
        <v>36039.137749999878</v>
      </c>
      <c r="U8" s="39">
        <f>S8-_xlfn.XLOOKUP($M8*12,'FHA Amotization'!$A$4:$A$363,'FHA Amotization'!$E$4:$E$363,0,0,1)</f>
        <v>16820.254381137143</v>
      </c>
      <c r="V8" s="39">
        <f>(R8+T8)*'Owner Occupier'!$H$35</f>
        <v>37942.039642499993</v>
      </c>
      <c r="W8" s="36">
        <f t="shared" si="2"/>
        <v>-46472.610092473842</v>
      </c>
    </row>
    <row r="9" spans="1:23" ht="14.25" customHeight="1" x14ac:dyDescent="0.25">
      <c r="A9" s="10"/>
      <c r="B9" s="43"/>
      <c r="C9" s="43"/>
      <c r="D9" s="44"/>
      <c r="E9" s="45"/>
      <c r="F9" s="43"/>
      <c r="G9" s="43"/>
      <c r="H9" s="43"/>
      <c r="I9" s="43"/>
      <c r="M9" s="30">
        <v>3</v>
      </c>
      <c r="N9" s="34">
        <f t="shared" si="3"/>
        <v>41521.106805605159</v>
      </c>
      <c r="O9" s="35">
        <f t="shared" si="0"/>
        <v>0.46223362376601368</v>
      </c>
      <c r="P9" s="36">
        <f>'Owner Occupier'!$D$38</f>
        <v>29942.367286997331</v>
      </c>
      <c r="Q9" s="37">
        <f>'Owner Occupier'!$H$30</f>
        <v>3.5000000000000003E-2</v>
      </c>
      <c r="R9" s="38">
        <f>'Owner Occupier'!$D$24</f>
        <v>505990</v>
      </c>
      <c r="S9" s="38">
        <f>'Owner Occupier'!$D$40</f>
        <v>488280.35</v>
      </c>
      <c r="T9" s="39">
        <f t="shared" si="1"/>
        <v>55010.157571249874</v>
      </c>
      <c r="U9" s="39">
        <f>S9-_xlfn.XLOOKUP($M9*12,'FHA Amotization'!$A$4:$A$363,'FHA Amotization'!$E$4:$E$363,0,0,1)</f>
        <v>25780.960264342779</v>
      </c>
      <c r="V9" s="39">
        <f>(R9+T9)*'Owner Occupier'!$H$35</f>
        <v>39270.011029987494</v>
      </c>
      <c r="W9" s="36">
        <f t="shared" si="2"/>
        <v>-69708.915138710756</v>
      </c>
    </row>
    <row r="10" spans="1:23" ht="14.25" customHeight="1" x14ac:dyDescent="0.25">
      <c r="A10" s="10"/>
      <c r="B10" s="43"/>
      <c r="C10" s="43"/>
      <c r="D10" s="44"/>
      <c r="E10" s="45"/>
      <c r="F10" s="43"/>
      <c r="G10" s="43"/>
      <c r="H10" s="43"/>
      <c r="I10" s="43"/>
      <c r="M10" s="30">
        <v>4</v>
      </c>
      <c r="N10" s="34">
        <f t="shared" si="3"/>
        <v>69130.704347255174</v>
      </c>
      <c r="O10" s="35">
        <f t="shared" si="0"/>
        <v>0.57719805255073831</v>
      </c>
      <c r="P10" s="36">
        <f>'Owner Occupier'!$D$38</f>
        <v>29942.367286997331</v>
      </c>
      <c r="Q10" s="37">
        <f>'Owner Occupier'!$H$30</f>
        <v>3.5000000000000003E-2</v>
      </c>
      <c r="R10" s="38">
        <f>'Owner Occupier'!$D$24</f>
        <v>505990</v>
      </c>
      <c r="S10" s="38">
        <f>'Owner Occupier'!$D$40</f>
        <v>488280.35</v>
      </c>
      <c r="T10" s="39">
        <f t="shared" si="1"/>
        <v>74645.163086243556</v>
      </c>
      <c r="U10" s="39">
        <f>S10-_xlfn.XLOOKUP($M10*12,'FHA Amotization'!$A$4:$A$363,'FHA Amotization'!$E$4:$E$363,0,0,1)</f>
        <v>35130.002677048673</v>
      </c>
      <c r="V10" s="39">
        <f>(R10+T10)*'Owner Occupier'!$H$35</f>
        <v>40644.461416037055</v>
      </c>
      <c r="W10" s="36">
        <f t="shared" si="2"/>
        <v>-92945.220184947684</v>
      </c>
    </row>
    <row r="11" spans="1:23" ht="14.25" customHeight="1" x14ac:dyDescent="0.25">
      <c r="A11" s="10"/>
      <c r="B11" s="43"/>
      <c r="C11" s="43"/>
      <c r="D11" s="44"/>
      <c r="E11" s="45"/>
      <c r="F11" s="43"/>
      <c r="G11" s="43"/>
      <c r="H11" s="43"/>
      <c r="I11" s="43"/>
      <c r="M11" s="30">
        <v>5</v>
      </c>
      <c r="N11" s="34">
        <f t="shared" si="3"/>
        <v>97784.587466266836</v>
      </c>
      <c r="O11" s="35">
        <f t="shared" si="0"/>
        <v>0.65315201386051025</v>
      </c>
      <c r="P11" s="36">
        <f>'Owner Occupier'!$D$38</f>
        <v>29942.367286997331</v>
      </c>
      <c r="Q11" s="37">
        <f>'Owner Occupier'!$H$30</f>
        <v>3.5000000000000003E-2</v>
      </c>
      <c r="R11" s="38">
        <f>'Owner Occupier'!$D$24</f>
        <v>505990</v>
      </c>
      <c r="S11" s="38">
        <f>'Owner Occupier'!$D$40</f>
        <v>488280.35</v>
      </c>
      <c r="T11" s="39">
        <f t="shared" si="1"/>
        <v>94967.393794262083</v>
      </c>
      <c r="U11" s="39">
        <f>S11-_xlfn.XLOOKUP($M11*12,'FHA Amotization'!$A$4:$A$363,'FHA Amotization'!$E$4:$E$363,0,0,1)</f>
        <v>44884.2112376031</v>
      </c>
      <c r="V11" s="39">
        <f>(R11+T11)*'Owner Occupier'!$H$35</f>
        <v>42067.017565598348</v>
      </c>
      <c r="W11" s="36">
        <f t="shared" si="2"/>
        <v>-116181.52523118461</v>
      </c>
    </row>
    <row r="12" spans="1:23" ht="14.25" customHeight="1" x14ac:dyDescent="0.25">
      <c r="A12" s="10"/>
      <c r="B12" s="43"/>
      <c r="C12" s="43"/>
      <c r="D12" s="44"/>
      <c r="E12" s="45"/>
      <c r="F12" s="43"/>
      <c r="G12" s="43"/>
      <c r="H12" s="43"/>
      <c r="I12" s="43"/>
      <c r="M12" s="30">
        <v>6</v>
      </c>
      <c r="N12" s="34">
        <f t="shared" si="3"/>
        <v>127522.68431824649</v>
      </c>
      <c r="O12" s="35">
        <f t="shared" si="0"/>
        <v>0.70982299148195083</v>
      </c>
      <c r="P12" s="36">
        <f>'Owner Occupier'!$D$38</f>
        <v>29942.367286997331</v>
      </c>
      <c r="Q12" s="37">
        <f>'Owner Occupier'!$H$30</f>
        <v>3.5000000000000003E-2</v>
      </c>
      <c r="R12" s="38">
        <f>'Owner Occupier'!$D$24</f>
        <v>505990</v>
      </c>
      <c r="S12" s="38">
        <f>'Owner Occupier'!$D$40</f>
        <v>488280.35</v>
      </c>
      <c r="T12" s="39">
        <f t="shared" si="1"/>
        <v>116000.90257706121</v>
      </c>
      <c r="U12" s="39">
        <f>S12-_xlfn.XLOOKUP($M12*12,'FHA Amotization'!$A$4:$A$363,'FHA Amotization'!$E$4:$E$363,0,0,1)</f>
        <v>55061.144921579573</v>
      </c>
      <c r="V12" s="39">
        <f>(R12+T12)*'Owner Occupier'!$H$35</f>
        <v>43539.363180394292</v>
      </c>
      <c r="W12" s="36">
        <f t="shared" si="2"/>
        <v>-139417.83027742151</v>
      </c>
    </row>
    <row r="13" spans="1:23" ht="14.25" customHeight="1" x14ac:dyDescent="0.25">
      <c r="A13" s="10"/>
      <c r="B13" s="43"/>
      <c r="C13" s="43"/>
      <c r="D13" s="44"/>
      <c r="E13" s="45"/>
      <c r="F13" s="43"/>
      <c r="G13" s="43"/>
      <c r="H13" s="43"/>
      <c r="I13" s="43"/>
      <c r="M13" s="30">
        <v>7</v>
      </c>
      <c r="N13" s="34">
        <f t="shared" si="3"/>
        <v>158386.46694600428</v>
      </c>
      <c r="O13" s="35">
        <f t="shared" si="0"/>
        <v>0.75567298731818155</v>
      </c>
      <c r="P13" s="36">
        <f>'Owner Occupier'!$D$38</f>
        <v>29942.367286997331</v>
      </c>
      <c r="Q13" s="37">
        <f>'Owner Occupier'!$H$30</f>
        <v>3.5000000000000003E-2</v>
      </c>
      <c r="R13" s="38">
        <f>'Owner Occupier'!$D$24</f>
        <v>505990</v>
      </c>
      <c r="S13" s="38">
        <f>'Owner Occupier'!$D$40</f>
        <v>488280.35</v>
      </c>
      <c r="T13" s="39">
        <f t="shared" si="1"/>
        <v>137770.58416725835</v>
      </c>
      <c r="U13" s="39">
        <f>S13-_xlfn.XLOOKUP($M13*12,'FHA Amotization'!$A$4:$A$363,'FHA Amotization'!$E$4:$E$363,0,0,1)</f>
        <v>65679.123670454021</v>
      </c>
      <c r="V13" s="39">
        <f>(R13+T13)*'Owner Occupier'!$H$35</f>
        <v>45063.24089170809</v>
      </c>
      <c r="W13" s="36">
        <f t="shared" si="2"/>
        <v>-162654.13532365844</v>
      </c>
    </row>
    <row r="14" spans="1:23" ht="14.25" customHeight="1" x14ac:dyDescent="0.25">
      <c r="A14" s="10"/>
      <c r="B14" s="43"/>
      <c r="C14" s="43"/>
      <c r="D14" s="44"/>
      <c r="E14" s="45"/>
      <c r="F14" s="43"/>
      <c r="G14" s="43"/>
      <c r="H14" s="43"/>
      <c r="I14" s="43"/>
      <c r="M14" s="30">
        <v>8</v>
      </c>
      <c r="N14" s="34">
        <f t="shared" si="3"/>
        <v>190419.01166032313</v>
      </c>
      <c r="O14" s="35">
        <f t="shared" si="0"/>
        <v>0.79493969963679956</v>
      </c>
      <c r="P14" s="36">
        <f>'Owner Occupier'!$D$38</f>
        <v>29942.367286997331</v>
      </c>
      <c r="Q14" s="37">
        <f>'Owner Occupier'!$H$30</f>
        <v>3.5000000000000003E-2</v>
      </c>
      <c r="R14" s="38">
        <f>'Owner Occupier'!$D$24</f>
        <v>505990</v>
      </c>
      <c r="S14" s="38">
        <f>'Owner Occupier'!$D$40</f>
        <v>488280.35</v>
      </c>
      <c r="T14" s="39">
        <f t="shared" si="1"/>
        <v>160302.20461311226</v>
      </c>
      <c r="U14" s="39">
        <f>S14-_xlfn.XLOOKUP($M14*12,'FHA Amotization'!$A$4:$A$363,'FHA Amotization'!$E$4:$E$363,0,0,1)</f>
        <v>76757.261370128719</v>
      </c>
      <c r="V14" s="39">
        <f>(R14+T14)*'Owner Occupier'!$H$35</f>
        <v>46640.45432291786</v>
      </c>
      <c r="W14" s="36">
        <f t="shared" si="2"/>
        <v>-185890.44036989537</v>
      </c>
    </row>
    <row r="15" spans="1:23" ht="14.25" customHeight="1" x14ac:dyDescent="0.25">
      <c r="A15" s="10"/>
      <c r="B15" s="43"/>
      <c r="C15" s="43"/>
      <c r="D15" s="44"/>
      <c r="E15" s="45"/>
      <c r="F15" s="43"/>
      <c r="G15" s="43"/>
      <c r="H15" s="43"/>
      <c r="I15" s="43"/>
      <c r="M15" s="30">
        <v>9</v>
      </c>
      <c r="N15" s="34">
        <f t="shared" si="3"/>
        <v>223665.0618090218</v>
      </c>
      <c r="O15" s="35">
        <f t="shared" si="0"/>
        <v>0.82998359134842881</v>
      </c>
      <c r="P15" s="36">
        <f>'Owner Occupier'!$D$38</f>
        <v>29942.367286997331</v>
      </c>
      <c r="Q15" s="37">
        <f>'Owner Occupier'!$H$30</f>
        <v>3.5000000000000003E-2</v>
      </c>
      <c r="R15" s="38">
        <f>'Owner Occupier'!$D$24</f>
        <v>505990</v>
      </c>
      <c r="S15" s="38">
        <f>'Owner Occupier'!$D$40</f>
        <v>488280.35</v>
      </c>
      <c r="T15" s="39">
        <f t="shared" si="1"/>
        <v>183622.43177457107</v>
      </c>
      <c r="U15" s="39">
        <f>S15-_xlfn.XLOOKUP($M15*12,'FHA Amotization'!$A$4:$A$363,'FHA Amotization'!$E$4:$E$363,0,0,1)</f>
        <v>88315.500258670712</v>
      </c>
      <c r="V15" s="39">
        <f>(R15+T15)*'Owner Occupier'!$H$35</f>
        <v>48272.87022421998</v>
      </c>
      <c r="W15" s="36">
        <f t="shared" si="2"/>
        <v>-209126.7454161323</v>
      </c>
    </row>
    <row r="16" spans="1:23" ht="14.25" customHeight="1" x14ac:dyDescent="0.25">
      <c r="A16" s="10"/>
      <c r="B16" s="43"/>
      <c r="C16" s="43"/>
      <c r="D16" s="44"/>
      <c r="E16" s="45"/>
      <c r="F16" s="43"/>
      <c r="G16" s="43"/>
      <c r="H16" s="43"/>
      <c r="I16" s="43"/>
      <c r="M16" s="30">
        <v>10</v>
      </c>
      <c r="N16" s="34">
        <f t="shared" si="3"/>
        <v>258171.09302981658</v>
      </c>
      <c r="O16" s="35">
        <f t="shared" si="0"/>
        <v>0.86222672561340552</v>
      </c>
      <c r="P16" s="36">
        <f>'Owner Occupier'!$D$38</f>
        <v>29942.367286997331</v>
      </c>
      <c r="Q16" s="37">
        <f>'Owner Occupier'!$H$30</f>
        <v>3.5000000000000003E-2</v>
      </c>
      <c r="R16" s="38">
        <f>'Owner Occupier'!$D$24</f>
        <v>505990</v>
      </c>
      <c r="S16" s="38">
        <f>'Owner Occupier'!$D$40</f>
        <v>488280.35</v>
      </c>
      <c r="T16" s="39">
        <f t="shared" si="1"/>
        <v>207758.86688668106</v>
      </c>
      <c r="U16" s="39">
        <f>S16-_xlfn.XLOOKUP($M16*12,'FHA Amotization'!$A$4:$A$363,'FHA Amotization'!$E$4:$E$363,0,0,1)</f>
        <v>100374.64682520321</v>
      </c>
      <c r="V16" s="39">
        <f>(R16+T16)*'Owner Occupier'!$H$35</f>
        <v>49962.420682067677</v>
      </c>
      <c r="W16" s="36">
        <f t="shared" si="2"/>
        <v>-232363.05046236922</v>
      </c>
    </row>
    <row r="17" spans="1:26" ht="14.25" customHeight="1" x14ac:dyDescent="0.25">
      <c r="A17" s="10"/>
      <c r="B17" s="43"/>
      <c r="C17" s="43"/>
      <c r="D17" s="44"/>
      <c r="E17" s="45"/>
      <c r="F17" s="43"/>
      <c r="G17" s="43"/>
      <c r="H17" s="43"/>
      <c r="I17" s="43"/>
      <c r="M17" s="30">
        <v>11</v>
      </c>
      <c r="N17" s="34">
        <f t="shared" si="3"/>
        <v>293985.38108634687</v>
      </c>
      <c r="O17" s="35">
        <f t="shared" si="0"/>
        <v>0.89257951714219874</v>
      </c>
      <c r="P17" s="36">
        <f>'Owner Occupier'!$D$38</f>
        <v>29942.367286997331</v>
      </c>
      <c r="Q17" s="37">
        <f>'Owner Occupier'!$H$30</f>
        <v>3.5000000000000003E-2</v>
      </c>
      <c r="R17" s="38">
        <f>'Owner Occupier'!$D$24</f>
        <v>505990</v>
      </c>
      <c r="S17" s="38">
        <f>'Owner Occupier'!$D$40</f>
        <v>488280.35</v>
      </c>
      <c r="T17" s="39">
        <f t="shared" si="1"/>
        <v>232740.07722771482</v>
      </c>
      <c r="U17" s="39">
        <f>S17-_xlfn.XLOOKUP($M17*12,'FHA Amotization'!$A$4:$A$363,'FHA Amotization'!$E$4:$E$363,0,0,1)</f>
        <v>112956.40926457208</v>
      </c>
      <c r="V17" s="39">
        <f>(R17+T17)*'Owner Occupier'!$H$35</f>
        <v>51711.105405940041</v>
      </c>
      <c r="W17" s="36">
        <f t="shared" si="2"/>
        <v>-255599.35550860612</v>
      </c>
    </row>
    <row r="18" spans="1:26" ht="14.25" customHeight="1" x14ac:dyDescent="0.25">
      <c r="A18" s="10"/>
      <c r="B18" s="43"/>
      <c r="C18" s="43"/>
      <c r="D18" s="44"/>
      <c r="E18" s="45"/>
      <c r="F18" s="43"/>
      <c r="G18" s="43"/>
      <c r="H18" s="43"/>
      <c r="I18" s="43"/>
      <c r="M18" s="30">
        <v>12</v>
      </c>
      <c r="N18" s="34">
        <f t="shared" si="3"/>
        <v>331158.07239075011</v>
      </c>
      <c r="O18" s="35">
        <f t="shared" si="0"/>
        <v>0.92165411532262087</v>
      </c>
      <c r="P18" s="36">
        <f>'Owner Occupier'!$D$38</f>
        <v>29942.367286997331</v>
      </c>
      <c r="Q18" s="37">
        <f>'Owner Occupier'!$H$30</f>
        <v>3.5000000000000003E-2</v>
      </c>
      <c r="R18" s="38">
        <f>'Owner Occupier'!$D$24</f>
        <v>505990</v>
      </c>
      <c r="S18" s="38">
        <f>'Owner Occupier'!$D$40</f>
        <v>488280.35</v>
      </c>
      <c r="T18" s="39">
        <f t="shared" si="1"/>
        <v>258595.62993068481</v>
      </c>
      <c r="U18" s="39">
        <f>S18-_xlfn.XLOOKUP($M18*12,'FHA Amotization'!$A$4:$A$363,'FHA Amotization'!$E$4:$E$363,0,0,1)</f>
        <v>126083.43655521324</v>
      </c>
      <c r="V18" s="39">
        <f>(R18+T18)*'Owner Occupier'!$H$35</f>
        <v>53520.994095147944</v>
      </c>
      <c r="W18" s="36">
        <f t="shared" si="2"/>
        <v>-278835.66055484302</v>
      </c>
    </row>
    <row r="19" spans="1:26" ht="14.25" customHeight="1" x14ac:dyDescent="0.25">
      <c r="A19" s="10"/>
      <c r="B19" s="43"/>
      <c r="C19" s="43"/>
      <c r="D19" s="44"/>
      <c r="E19" s="45"/>
      <c r="F19" s="43"/>
      <c r="G19" s="43"/>
      <c r="H19" s="43"/>
      <c r="I19" s="43"/>
      <c r="M19" s="30">
        <v>13</v>
      </c>
      <c r="N19" s="34">
        <f t="shared" si="3"/>
        <v>369741.25732034526</v>
      </c>
      <c r="O19" s="35">
        <f t="shared" si="0"/>
        <v>0.94987931000495951</v>
      </c>
      <c r="P19" s="36">
        <f>'Owner Occupier'!$D$38</f>
        <v>29942.367286997331</v>
      </c>
      <c r="Q19" s="37">
        <f>'Owner Occupier'!$H$30</f>
        <v>3.5000000000000003E-2</v>
      </c>
      <c r="R19" s="38">
        <f>'Owner Occupier'!$D$24</f>
        <v>505990</v>
      </c>
      <c r="S19" s="38">
        <f>'Owner Occupier'!$D$40</f>
        <v>488280.35</v>
      </c>
      <c r="T19" s="39">
        <f t="shared" si="1"/>
        <v>285356.1269782586</v>
      </c>
      <c r="U19" s="39">
        <f>S19-_xlfn.XLOOKUP($M19*12,'FHA Amotization'!$A$4:$A$363,'FHA Amotization'!$E$4:$E$363,0,0,1)</f>
        <v>139779.35923056479</v>
      </c>
      <c r="V19" s="39">
        <f>(R19+T19)*'Owner Occupier'!$H$35</f>
        <v>55394.228888478108</v>
      </c>
      <c r="W19" s="36">
        <f t="shared" si="2"/>
        <v>-302071.96560107998</v>
      </c>
    </row>
    <row r="20" spans="1:26" ht="14.25" customHeight="1" x14ac:dyDescent="0.25">
      <c r="A20" s="10"/>
      <c r="B20" s="43"/>
      <c r="C20" s="43"/>
      <c r="D20" s="44"/>
      <c r="E20" s="45"/>
      <c r="F20" s="43"/>
      <c r="G20" s="43"/>
      <c r="H20" s="43"/>
      <c r="I20" s="43"/>
      <c r="M20" s="30">
        <v>14</v>
      </c>
      <c r="N20" s="34">
        <f t="shared" si="3"/>
        <v>409789.04644034221</v>
      </c>
      <c r="O20" s="35">
        <f t="shared" si="0"/>
        <v>0.97756619888304985</v>
      </c>
      <c r="P20" s="36">
        <f>'Owner Occupier'!$D$38</f>
        <v>29942.367286997331</v>
      </c>
      <c r="Q20" s="37">
        <f>'Owner Occupier'!$H$30</f>
        <v>3.5000000000000003E-2</v>
      </c>
      <c r="R20" s="38">
        <f>'Owner Occupier'!$D$24</f>
        <v>505990</v>
      </c>
      <c r="S20" s="38">
        <f>'Owner Occupier'!$D$40</f>
        <v>488280.35</v>
      </c>
      <c r="T20" s="39">
        <f t="shared" si="1"/>
        <v>313053.24142249778</v>
      </c>
      <c r="U20" s="39">
        <f>S20-_xlfn.XLOOKUP($M20*12,'FHA Amotization'!$A$4:$A$363,'FHA Amotization'!$E$4:$E$363,0,0,1)</f>
        <v>154068.83191741927</v>
      </c>
      <c r="V20" s="39">
        <f>(R20+T20)*'Owner Occupier'!$H$35</f>
        <v>57333.026899574848</v>
      </c>
      <c r="W20" s="36">
        <f t="shared" si="2"/>
        <v>-325308.27064731688</v>
      </c>
    </row>
    <row r="21" spans="1:26" ht="14.25" customHeight="1" x14ac:dyDescent="0.25">
      <c r="A21" s="10"/>
      <c r="B21" s="43"/>
      <c r="C21" s="43"/>
      <c r="D21" s="44"/>
      <c r="E21" s="45"/>
      <c r="F21" s="43"/>
      <c r="G21" s="43"/>
      <c r="H21" s="43"/>
      <c r="I21" s="43"/>
      <c r="M21" s="40">
        <v>15</v>
      </c>
      <c r="N21" s="34">
        <f t="shared" si="3"/>
        <v>451357.64974901563</v>
      </c>
      <c r="O21" s="35">
        <f t="shared" si="0"/>
        <v>1.0049475946524344</v>
      </c>
      <c r="P21" s="36">
        <f>'Owner Occupier'!$D$38</f>
        <v>29942.367286997331</v>
      </c>
      <c r="Q21" s="37">
        <f>'Owner Occupier'!$H$30</f>
        <v>3.5000000000000003E-2</v>
      </c>
      <c r="R21" s="38">
        <f>'Owner Occupier'!$D$24</f>
        <v>505990</v>
      </c>
      <c r="S21" s="38">
        <f>'Owner Occupier'!$D$40</f>
        <v>488280.35</v>
      </c>
      <c r="T21" s="39">
        <f t="shared" si="1"/>
        <v>341719.75487228506</v>
      </c>
      <c r="U21" s="39">
        <f>S21-_xlfn.XLOOKUP($M21*12,'FHA Amotization'!$A$4:$A$363,'FHA Amotization'!$E$4:$E$363,0,0,1)</f>
        <v>168977.57771779055</v>
      </c>
      <c r="V21" s="39">
        <f>(R21+T21)*'Owner Occupier'!$H$35</f>
        <v>59339.682841059963</v>
      </c>
      <c r="W21" s="36">
        <f t="shared" si="2"/>
        <v>-348544.57569355384</v>
      </c>
      <c r="X21" s="85"/>
      <c r="Y21" s="86"/>
      <c r="Z21" s="85"/>
    </row>
    <row r="22" spans="1:26" ht="14.25" customHeight="1" x14ac:dyDescent="0.25">
      <c r="A22" s="10"/>
      <c r="B22" s="43"/>
      <c r="C22" s="43"/>
      <c r="D22" s="44"/>
      <c r="E22" s="45"/>
      <c r="F22" s="43"/>
      <c r="G22" s="43"/>
      <c r="H22" s="43"/>
      <c r="I22" s="43"/>
      <c r="M22" s="30">
        <v>16</v>
      </c>
      <c r="N22" s="34">
        <f t="shared" si="3"/>
        <v>494505.45906650845</v>
      </c>
      <c r="O22" s="35">
        <f t="shared" si="0"/>
        <v>1.032202661046048</v>
      </c>
      <c r="P22" s="36">
        <f>'Owner Occupier'!$D$38</f>
        <v>29942.367286997331</v>
      </c>
      <c r="Q22" s="37">
        <f>'Owner Occupier'!$H$30</f>
        <v>3.5000000000000003E-2</v>
      </c>
      <c r="R22" s="38">
        <f>'Owner Occupier'!$D$24</f>
        <v>505990</v>
      </c>
      <c r="S22" s="38">
        <f>'Owner Occupier'!$D$40</f>
        <v>488280.35</v>
      </c>
      <c r="T22" s="39">
        <f t="shared" si="1"/>
        <v>371389.59629281494</v>
      </c>
      <c r="U22" s="39">
        <f>S22-_xlfn.XLOOKUP($M22*12,'FHA Amotization'!$A$4:$A$363,'FHA Amotization'!$E$4:$E$363,0,0,1)</f>
        <v>184532.43451419054</v>
      </c>
      <c r="V22" s="39">
        <f>(R22+T22)*'Owner Occupier'!$H$35</f>
        <v>61416.571740497049</v>
      </c>
      <c r="W22" s="36">
        <f t="shared" si="2"/>
        <v>-371780.88073979074</v>
      </c>
    </row>
    <row r="23" spans="1:26" ht="18" x14ac:dyDescent="0.25">
      <c r="A23" s="10"/>
      <c r="B23" s="46" t="s">
        <v>13</v>
      </c>
      <c r="C23" s="46"/>
      <c r="D23" s="47"/>
      <c r="E23" s="48"/>
      <c r="F23" s="49"/>
      <c r="G23" s="46" t="s">
        <v>43</v>
      </c>
      <c r="H23" s="48" t="s">
        <v>46</v>
      </c>
      <c r="I23" s="48" t="s">
        <v>47</v>
      </c>
      <c r="M23" s="30">
        <v>17</v>
      </c>
      <c r="N23" s="34">
        <f t="shared" si="3"/>
        <v>539293.13369331858</v>
      </c>
      <c r="O23" s="35">
        <f t="shared" si="0"/>
        <v>1.0594728602219656</v>
      </c>
      <c r="P23" s="36">
        <f>'Owner Occupier'!$D$38</f>
        <v>29942.367286997331</v>
      </c>
      <c r="Q23" s="37">
        <f>'Owner Occupier'!$H$30</f>
        <v>3.5000000000000003E-2</v>
      </c>
      <c r="R23" s="38">
        <f>'Owner Occupier'!$D$24</f>
        <v>505990</v>
      </c>
      <c r="S23" s="38">
        <f>'Owner Occupier'!$D$40</f>
        <v>488280.35</v>
      </c>
      <c r="T23" s="39">
        <f t="shared" si="1"/>
        <v>402097.88216306339</v>
      </c>
      <c r="U23" s="39">
        <f>S23-_xlfn.XLOOKUP($M23*12,'FHA Amotization'!$A$4:$A$363,'FHA Amotization'!$E$4:$E$363,0,0,1)</f>
        <v>200761.4032816696</v>
      </c>
      <c r="V23" s="39">
        <f>(R23+T23)*'Owner Occupier'!$H$35</f>
        <v>63566.151751414443</v>
      </c>
      <c r="W23" s="36">
        <f t="shared" si="2"/>
        <v>-395017.18578602764</v>
      </c>
    </row>
    <row r="24" spans="1:26" x14ac:dyDescent="0.25">
      <c r="A24" s="10"/>
      <c r="B24" s="56" t="s">
        <v>28</v>
      </c>
      <c r="C24" s="56"/>
      <c r="D24" s="61">
        <f>Summary!E8</f>
        <v>505990</v>
      </c>
      <c r="E24" s="45"/>
      <c r="F24" s="43"/>
      <c r="G24" s="44" t="s">
        <v>49</v>
      </c>
      <c r="H24" s="50">
        <f>Summary!E11</f>
        <v>1775</v>
      </c>
      <c r="I24" s="53">
        <f t="shared" ref="I24" si="4">H24*12</f>
        <v>21300</v>
      </c>
      <c r="M24" s="30">
        <v>18</v>
      </c>
      <c r="N24" s="34">
        <f t="shared" si="3"/>
        <v>585783.68946964771</v>
      </c>
      <c r="O24" s="35">
        <f t="shared" si="0"/>
        <v>1.0868725906652532</v>
      </c>
      <c r="P24" s="36">
        <f>'Owner Occupier'!$D$38</f>
        <v>29942.367286997331</v>
      </c>
      <c r="Q24" s="37">
        <f>'Owner Occupier'!$H$30</f>
        <v>3.5000000000000003E-2</v>
      </c>
      <c r="R24" s="38">
        <f>'Owner Occupier'!$D$24</f>
        <v>505990</v>
      </c>
      <c r="S24" s="38">
        <f>'Owner Occupier'!$D$40</f>
        <v>488280.35</v>
      </c>
      <c r="T24" s="39">
        <f t="shared" si="1"/>
        <v>433880.95803877048</v>
      </c>
      <c r="U24" s="39">
        <f>S24-_xlfn.XLOOKUP($M24*12,'FHA Amotization'!$A$4:$A$363,'FHA Amotization'!$E$4:$E$363,0,0,1)</f>
        <v>217693.69849359122</v>
      </c>
      <c r="V24" s="39">
        <f>(R24+T24)*'Owner Occupier'!$H$35</f>
        <v>65790.967062713942</v>
      </c>
      <c r="W24" s="36">
        <f t="shared" si="2"/>
        <v>-418253.49083226459</v>
      </c>
    </row>
    <row r="25" spans="1:26" x14ac:dyDescent="0.25">
      <c r="A25" s="10"/>
      <c r="B25" s="56" t="s">
        <v>15</v>
      </c>
      <c r="C25" s="56"/>
      <c r="D25" s="61">
        <f>I24</f>
        <v>21300</v>
      </c>
      <c r="E25" s="45"/>
      <c r="F25" s="43"/>
      <c r="G25" s="44" t="s">
        <v>50</v>
      </c>
      <c r="H25" s="50">
        <f>D56</f>
        <v>3711.3587538530769</v>
      </c>
      <c r="I25" s="53">
        <f>E56</f>
        <v>44536.305046236921</v>
      </c>
      <c r="M25" s="30">
        <v>19</v>
      </c>
      <c r="N25" s="34">
        <f t="shared" si="3"/>
        <v>634042.59137209633</v>
      </c>
      <c r="O25" s="35">
        <f t="shared" si="0"/>
        <v>1.1144964719702031</v>
      </c>
      <c r="P25" s="36">
        <f>'Owner Occupier'!$D$38</f>
        <v>29942.367286997331</v>
      </c>
      <c r="Q25" s="37">
        <f>'Owner Occupier'!$H$30</f>
        <v>3.5000000000000003E-2</v>
      </c>
      <c r="R25" s="38">
        <f>'Owner Occupier'!$D$24</f>
        <v>505990</v>
      </c>
      <c r="S25" s="38">
        <f>'Owner Occupier'!$D$40</f>
        <v>488280.35</v>
      </c>
      <c r="T25" s="39">
        <f t="shared" si="1"/>
        <v>466776.44157012738</v>
      </c>
      <c r="U25" s="39">
        <f>S25-_xlfn.XLOOKUP($M25*12,'FHA Amotization'!$A$4:$A$363,'FHA Amotization'!$E$4:$E$363,0,0,1)</f>
        <v>235359.80071187785</v>
      </c>
      <c r="V25" s="39">
        <f>(R25+T25)*'Owner Occupier'!$H$35</f>
        <v>68093.650909908916</v>
      </c>
      <c r="W25" s="36">
        <f t="shared" si="2"/>
        <v>-441489.79587850149</v>
      </c>
    </row>
    <row r="26" spans="1:26" x14ac:dyDescent="0.25">
      <c r="A26" s="10"/>
      <c r="B26" s="56" t="s">
        <v>92</v>
      </c>
      <c r="C26" s="56"/>
      <c r="D26" s="61">
        <f>D38</f>
        <v>29942.367286997331</v>
      </c>
      <c r="E26" s="45"/>
      <c r="F26" s="43"/>
      <c r="G26" s="56" t="s">
        <v>93</v>
      </c>
      <c r="H26" s="58">
        <f>H24-H25</f>
        <v>-1936.3587538530769</v>
      </c>
      <c r="I26" s="59">
        <f>I24-I25</f>
        <v>-23236.305046236921</v>
      </c>
      <c r="M26" s="30">
        <v>20</v>
      </c>
      <c r="N26" s="34">
        <f t="shared" si="3"/>
        <v>684137.84978972329</v>
      </c>
      <c r="O26" s="35">
        <f t="shared" si="0"/>
        <v>1.1424244503319794</v>
      </c>
      <c r="P26" s="36">
        <f>'Owner Occupier'!$D$38</f>
        <v>29942.367286997331</v>
      </c>
      <c r="Q26" s="37">
        <f>'Owner Occupier'!$H$30</f>
        <v>3.5000000000000003E-2</v>
      </c>
      <c r="R26" s="38">
        <f>'Owner Occupier'!$D$24</f>
        <v>505990</v>
      </c>
      <c r="S26" s="38">
        <f>'Owner Occupier'!$D$40</f>
        <v>488280.35</v>
      </c>
      <c r="T26" s="39">
        <f t="shared" si="1"/>
        <v>500823.26702508179</v>
      </c>
      <c r="U26" s="39">
        <f>S26-_xlfn.XLOOKUP($M26*12,'FHA Amotization'!$A$4:$A$363,'FHA Amotization'!$E$4:$E$363,0,0,1)</f>
        <v>253791.51145639727</v>
      </c>
      <c r="V26" s="39">
        <f>(R26+T26)*'Owner Occupier'!$H$35</f>
        <v>70476.928691755733</v>
      </c>
      <c r="W26" s="36">
        <f t="shared" si="2"/>
        <v>-464726.10092473845</v>
      </c>
    </row>
    <row r="27" spans="1:26" x14ac:dyDescent="0.25">
      <c r="A27" s="10"/>
      <c r="B27" s="56" t="s">
        <v>94</v>
      </c>
      <c r="C27" s="56"/>
      <c r="D27" s="61">
        <f>H26</f>
        <v>-1936.3587538530769</v>
      </c>
      <c r="E27" s="45"/>
      <c r="F27" s="43"/>
      <c r="G27" s="56" t="s">
        <v>95</v>
      </c>
      <c r="H27" s="58">
        <f>H24-H25+D54+D55</f>
        <v>-1829.8587538530769</v>
      </c>
      <c r="I27" s="58">
        <f>I24-I25+E54+E55</f>
        <v>-21958.305046236921</v>
      </c>
      <c r="M27" s="30">
        <v>21</v>
      </c>
      <c r="N27" s="34">
        <f t="shared" si="3"/>
        <v>736140.12062725576</v>
      </c>
      <c r="O27" s="35">
        <f t="shared" si="0"/>
        <v>1.1707254514128984</v>
      </c>
      <c r="P27" s="36">
        <f>'Owner Occupier'!$D$38</f>
        <v>29942.367286997331</v>
      </c>
      <c r="Q27" s="37">
        <f>'Owner Occupier'!$H$30</f>
        <v>3.5000000000000003E-2</v>
      </c>
      <c r="R27" s="38">
        <f>'Owner Occupier'!$D$24</f>
        <v>505990</v>
      </c>
      <c r="S27" s="38">
        <f>'Owner Occupier'!$D$40</f>
        <v>488280.35</v>
      </c>
      <c r="T27" s="39">
        <f t="shared" si="1"/>
        <v>536061.73137095943</v>
      </c>
      <c r="U27" s="39">
        <f>S27-_xlfn.XLOOKUP($M27*12,'FHA Amotization'!$A$4:$A$363,'FHA Amotization'!$E$4:$E$363,0,0,1)</f>
        <v>273022.01045226352</v>
      </c>
      <c r="V27" s="39">
        <f>(R27+T27)*'Owner Occupier'!$H$35</f>
        <v>72943.621195967164</v>
      </c>
      <c r="W27" s="36">
        <f t="shared" si="2"/>
        <v>-487962.40597097535</v>
      </c>
    </row>
    <row r="28" spans="1:26" x14ac:dyDescent="0.25">
      <c r="A28" s="10"/>
      <c r="B28" s="56" t="s">
        <v>96</v>
      </c>
      <c r="C28" s="56"/>
      <c r="D28" s="61">
        <f>H27</f>
        <v>-1829.8587538530769</v>
      </c>
      <c r="E28" s="45"/>
      <c r="F28" s="43"/>
      <c r="G28" s="10"/>
      <c r="H28" s="10"/>
      <c r="I28" s="10"/>
      <c r="M28" s="30">
        <v>22</v>
      </c>
      <c r="N28" s="34">
        <f t="shared" si="3"/>
        <v>790122.80938922206</v>
      </c>
      <c r="O28" s="35">
        <f t="shared" si="0"/>
        <v>1.1994600430157616</v>
      </c>
      <c r="P28" s="36">
        <f>'Owner Occupier'!$D$38</f>
        <v>29942.367286997331</v>
      </c>
      <c r="Q28" s="37">
        <f>'Owner Occupier'!$H$30</f>
        <v>3.5000000000000003E-2</v>
      </c>
      <c r="R28" s="38">
        <f>'Owner Occupier'!$D$24</f>
        <v>505990</v>
      </c>
      <c r="S28" s="38">
        <f>'Owner Occupier'!$D$40</f>
        <v>488280.35</v>
      </c>
      <c r="T28" s="39">
        <f t="shared" si="1"/>
        <v>572533.54196894309</v>
      </c>
      <c r="U28" s="39">
        <f>S28-_xlfn.XLOOKUP($M28*12,'FHA Amotization'!$A$4:$A$363,'FHA Amotization'!$E$4:$E$363,0,0,1)</f>
        <v>293085.91535810498</v>
      </c>
      <c r="V28" s="39">
        <f>(R28+T28)*'Owner Occupier'!$H$35</f>
        <v>75496.647937826026</v>
      </c>
      <c r="W28" s="36">
        <f t="shared" si="2"/>
        <v>-511198.71101721225</v>
      </c>
    </row>
    <row r="29" spans="1:26" ht="18" x14ac:dyDescent="0.25">
      <c r="A29" s="10"/>
      <c r="B29" s="56" t="s">
        <v>97</v>
      </c>
      <c r="C29" s="56"/>
      <c r="D29" s="73">
        <f>H34</f>
        <v>78291.231520949514</v>
      </c>
      <c r="E29" s="45"/>
      <c r="F29" s="43"/>
      <c r="G29" s="46" t="s">
        <v>37</v>
      </c>
      <c r="H29" s="48"/>
      <c r="I29" s="48"/>
      <c r="M29" s="30">
        <v>23</v>
      </c>
      <c r="N29" s="34">
        <f t="shared" si="3"/>
        <v>846162.17940502509</v>
      </c>
      <c r="O29" s="35">
        <f t="shared" si="0"/>
        <v>1.2286824091596684</v>
      </c>
      <c r="P29" s="36">
        <f>'Owner Occupier'!$D$38</f>
        <v>29942.367286997331</v>
      </c>
      <c r="Q29" s="37">
        <f>'Owner Occupier'!$H$30</f>
        <v>3.5000000000000003E-2</v>
      </c>
      <c r="R29" s="38">
        <f>'Owner Occupier'!$D$24</f>
        <v>505990</v>
      </c>
      <c r="S29" s="38">
        <f>'Owner Occupier'!$D$40</f>
        <v>488280.35</v>
      </c>
      <c r="T29" s="39">
        <f t="shared" si="1"/>
        <v>610281.86593785603</v>
      </c>
      <c r="U29" s="39">
        <f>S29-_xlfn.XLOOKUP($M29*12,'FHA Amotization'!$A$4:$A$363,'FHA Amotization'!$E$4:$E$363,0,0,1)</f>
        <v>314019.34408281895</v>
      </c>
      <c r="V29" s="39">
        <f>(R29+T29)*'Owner Occupier'!$H$35</f>
        <v>78139.030615649928</v>
      </c>
      <c r="W29" s="36">
        <f t="shared" si="2"/>
        <v>-534435.01606344921</v>
      </c>
    </row>
    <row r="30" spans="1:26" x14ac:dyDescent="0.25">
      <c r="A30" s="10"/>
      <c r="B30" s="56" t="s">
        <v>98</v>
      </c>
      <c r="C30" s="56"/>
      <c r="D30" s="77">
        <f>H32</f>
        <v>341719.75487228506</v>
      </c>
      <c r="E30" s="45"/>
      <c r="F30" s="43"/>
      <c r="G30" s="44" t="s">
        <v>99</v>
      </c>
      <c r="H30" s="62">
        <f>Summary!E12</f>
        <v>3.5000000000000003E-2</v>
      </c>
      <c r="I30" s="45"/>
      <c r="M30" s="30">
        <v>24</v>
      </c>
      <c r="N30" s="34">
        <f t="shared" si="3"/>
        <v>904337.46436147531</v>
      </c>
      <c r="O30" s="35">
        <f t="shared" si="0"/>
        <v>1.2584418366309749</v>
      </c>
      <c r="P30" s="36">
        <f>'Owner Occupier'!$D$38</f>
        <v>29942.367286997331</v>
      </c>
      <c r="Q30" s="37">
        <f>'Owner Occupier'!$H$30</f>
        <v>3.5000000000000003E-2</v>
      </c>
      <c r="R30" s="38">
        <f>'Owner Occupier'!$D$24</f>
        <v>505990</v>
      </c>
      <c r="S30" s="38">
        <f>'Owner Occupier'!$D$40</f>
        <v>488280.35</v>
      </c>
      <c r="T30" s="39">
        <f t="shared" si="1"/>
        <v>649351.38124568085</v>
      </c>
      <c r="U30" s="39">
        <f>S30-_xlfn.XLOOKUP($M30*12,'FHA Amotization'!$A$4:$A$363,'FHA Amotization'!$E$4:$E$363,0,0,1)</f>
        <v>335859.97980299208</v>
      </c>
      <c r="V30" s="39">
        <f>(R30+T30)*'Owner Occupier'!$H$35</f>
        <v>80873.896687197674</v>
      </c>
      <c r="W30" s="36">
        <f t="shared" si="2"/>
        <v>-557671.32110968605</v>
      </c>
    </row>
    <row r="31" spans="1:26" x14ac:dyDescent="0.25">
      <c r="A31" s="10"/>
      <c r="B31" s="56" t="s">
        <v>36</v>
      </c>
      <c r="C31" s="56"/>
      <c r="D31" s="61">
        <f>H37</f>
        <v>360671.30355217459</v>
      </c>
      <c r="E31" s="45"/>
      <c r="F31" s="43"/>
      <c r="G31" s="44" t="s">
        <v>57</v>
      </c>
      <c r="H31" s="79">
        <f>Summary!E13</f>
        <v>15</v>
      </c>
      <c r="I31" s="45"/>
      <c r="M31" s="30">
        <v>25</v>
      </c>
      <c r="N31" s="34">
        <f t="shared" si="3"/>
        <v>964730.98531605757</v>
      </c>
      <c r="O31" s="35">
        <f t="shared" si="0"/>
        <v>1.2887838507478309</v>
      </c>
      <c r="P31" s="36">
        <f>'Owner Occupier'!$D$38</f>
        <v>29942.367286997331</v>
      </c>
      <c r="Q31" s="37">
        <f>'Owner Occupier'!$H$30</f>
        <v>3.5000000000000003E-2</v>
      </c>
      <c r="R31" s="38">
        <f>'Owner Occupier'!$D$24</f>
        <v>505990</v>
      </c>
      <c r="S31" s="38">
        <f>'Owner Occupier'!$D$40</f>
        <v>488280.35</v>
      </c>
      <c r="T31" s="39">
        <f t="shared" si="1"/>
        <v>689788.32958927937</v>
      </c>
      <c r="U31" s="39">
        <f>S31-_xlfn.XLOOKUP($M31*12,'FHA Amotization'!$A$4:$A$363,'FHA Amotization'!$E$4:$E$363,0,0,1)</f>
        <v>358647.13879802777</v>
      </c>
      <c r="V31" s="39">
        <f>(R31+T31)*'Owner Occupier'!$H$35</f>
        <v>83704.48307124956</v>
      </c>
      <c r="W31" s="36">
        <f t="shared" si="2"/>
        <v>-580907.626155923</v>
      </c>
    </row>
    <row r="32" spans="1:26" x14ac:dyDescent="0.25">
      <c r="A32" s="10"/>
      <c r="B32" s="56" t="s">
        <v>55</v>
      </c>
      <c r="C32" s="19"/>
      <c r="D32" s="89">
        <f>H38</f>
        <v>0.80303448754322659</v>
      </c>
      <c r="E32" s="16"/>
      <c r="F32" s="43"/>
      <c r="G32" s="56" t="str">
        <f>CONCATENATE("Appreciation After ",H31," Years")</f>
        <v>Appreciation After 15 Years</v>
      </c>
      <c r="H32" s="58">
        <f>$D$34*(1+H30)^H31-$D$34</f>
        <v>341719.75487228506</v>
      </c>
      <c r="I32" s="45"/>
      <c r="M32" s="30">
        <v>26</v>
      </c>
      <c r="N32" s="34">
        <f t="shared" si="3"/>
        <v>1027428.2723712533</v>
      </c>
      <c r="O32" s="35">
        <f t="shared" si="0"/>
        <v>1.319751095012426</v>
      </c>
      <c r="P32" s="36">
        <f>'Owner Occupier'!$D$38</f>
        <v>29942.367286997331</v>
      </c>
      <c r="Q32" s="37">
        <f>'Owner Occupier'!$H$30</f>
        <v>3.5000000000000003E-2</v>
      </c>
      <c r="R32" s="38">
        <f>'Owner Occupier'!$D$24</f>
        <v>505990</v>
      </c>
      <c r="S32" s="38">
        <f>'Owner Occupier'!$D$40</f>
        <v>488280.35</v>
      </c>
      <c r="T32" s="39">
        <f t="shared" si="1"/>
        <v>731640.57112490432</v>
      </c>
      <c r="U32" s="39">
        <f>S32-_xlfn.XLOOKUP($M32*12,'FHA Amotization'!$A$4:$A$363,'FHA Amotization'!$E$4:$E$363,0,0,1)</f>
        <v>382421.84122509236</v>
      </c>
      <c r="V32" s="39">
        <f>(R32+T32)*'Owner Occupier'!$H$35</f>
        <v>86634.139978743304</v>
      </c>
      <c r="W32" s="36">
        <f t="shared" si="2"/>
        <v>-604143.93120215996</v>
      </c>
    </row>
    <row r="33" spans="1:23" ht="18" x14ac:dyDescent="0.25">
      <c r="A33" s="10"/>
      <c r="B33" s="46" t="s">
        <v>58</v>
      </c>
      <c r="C33" s="46"/>
      <c r="D33" s="47"/>
      <c r="E33" s="48"/>
      <c r="F33" s="43"/>
      <c r="G33" s="56"/>
      <c r="H33" s="64"/>
      <c r="I33" s="45"/>
      <c r="M33" s="30">
        <v>27</v>
      </c>
      <c r="N33" s="34">
        <f t="shared" si="3"/>
        <v>1092518.1911975632</v>
      </c>
      <c r="O33" s="35">
        <f>N33/P33/M33</f>
        <v>1.3513840212825274</v>
      </c>
      <c r="P33" s="36">
        <f>'Owner Occupier'!$D$38</f>
        <v>29942.367286997331</v>
      </c>
      <c r="Q33" s="37">
        <f>'Owner Occupier'!$H$30</f>
        <v>3.5000000000000003E-2</v>
      </c>
      <c r="R33" s="38">
        <f>'Owner Occupier'!$D$24</f>
        <v>505990</v>
      </c>
      <c r="S33" s="38">
        <f>'Owner Occupier'!$D$40</f>
        <v>488280.35</v>
      </c>
      <c r="T33" s="39">
        <f t="shared" si="1"/>
        <v>774957.6411142759</v>
      </c>
      <c r="U33" s="39">
        <f>S33-_xlfn.XLOOKUP($M33*12,'FHA Amotization'!$A$4:$A$363,'FHA Amotization'!$E$4:$E$363,0,0,1)</f>
        <v>407226.88496128662</v>
      </c>
      <c r="V33" s="39">
        <f>(R33+T33)*'Owner Occupier'!$H$35</f>
        <v>89666.334877999325</v>
      </c>
      <c r="W33" s="36">
        <f t="shared" si="2"/>
        <v>-627380.23624839692</v>
      </c>
    </row>
    <row r="34" spans="1:23" x14ac:dyDescent="0.25">
      <c r="A34" s="10"/>
      <c r="B34" s="44" t="s">
        <v>28</v>
      </c>
      <c r="C34" s="44"/>
      <c r="D34" s="50">
        <f>Summary!E8</f>
        <v>505990</v>
      </c>
      <c r="E34" s="45"/>
      <c r="F34" s="43"/>
      <c r="G34" s="56" t="s">
        <v>97</v>
      </c>
      <c r="H34" s="58">
        <f>_xlfn.XLOOKUP($H$31*12,'FHA Amotization'!A4:A363,'FHA Amotization'!G4:G363,0,0,1)</f>
        <v>78291.231520949514</v>
      </c>
      <c r="I34" s="71"/>
      <c r="M34" s="30">
        <v>28</v>
      </c>
      <c r="N34" s="34">
        <f t="shared" si="3"/>
        <v>1160093.0746005138</v>
      </c>
      <c r="O34" s="35">
        <f>N34/P34/M34</f>
        <v>1.3837214380654197</v>
      </c>
      <c r="P34" s="36">
        <f>'Owner Occupier'!$D$38</f>
        <v>29942.367286997331</v>
      </c>
      <c r="Q34" s="37">
        <f>'Owner Occupier'!$H$30</f>
        <v>3.5000000000000003E-2</v>
      </c>
      <c r="R34" s="38">
        <f>'Owner Occupier'!$D$24</f>
        <v>505990</v>
      </c>
      <c r="S34" s="38">
        <f>'Owner Occupier'!$D$40</f>
        <v>488280.35</v>
      </c>
      <c r="T34" s="39">
        <f t="shared" si="1"/>
        <v>819790.80855327542</v>
      </c>
      <c r="U34" s="39">
        <f>S34-_xlfn.XLOOKUP($M34*12,'FHA Amotization'!$A$4:$A$363,'FHA Amotization'!$E$4:$E$363,0,0,1)</f>
        <v>433106.92264596763</v>
      </c>
      <c r="V34" s="39">
        <f>(R34+T34)*'Owner Occupier'!$H$35</f>
        <v>92804.656598729285</v>
      </c>
      <c r="W34" s="36">
        <f t="shared" si="2"/>
        <v>-650616.54129463376</v>
      </c>
    </row>
    <row r="35" spans="1:23" x14ac:dyDescent="0.25">
      <c r="A35" s="10"/>
      <c r="B35" s="44" t="s">
        <v>59</v>
      </c>
      <c r="C35" s="84">
        <f>Summary!E9</f>
        <v>3.5000000000000003E-2</v>
      </c>
      <c r="D35" s="52">
        <f>C35*D34</f>
        <v>17709.650000000001</v>
      </c>
      <c r="E35" s="45"/>
      <c r="F35" s="43"/>
      <c r="G35" s="44" t="s">
        <v>60</v>
      </c>
      <c r="H35" s="51">
        <v>7.0000000000000007E-2</v>
      </c>
      <c r="I35" s="45"/>
      <c r="M35" s="30">
        <v>29</v>
      </c>
      <c r="N35" s="34">
        <f t="shared" si="3"/>
        <v>1230248.8593348647</v>
      </c>
      <c r="O35" s="35">
        <f>N35/P35/M35</f>
        <v>1.4168009514145903</v>
      </c>
      <c r="P35" s="36">
        <f>'Owner Occupier'!$D$38</f>
        <v>29942.367286997331</v>
      </c>
      <c r="Q35" s="37">
        <f>'Owner Occupier'!$H$30</f>
        <v>3.5000000000000003E-2</v>
      </c>
      <c r="R35" s="38">
        <f>'Owner Occupier'!$D$24</f>
        <v>505990</v>
      </c>
      <c r="S35" s="38">
        <f>'Owner Occupier'!$D$40</f>
        <v>488280.35</v>
      </c>
      <c r="T35" s="39">
        <f t="shared" si="1"/>
        <v>866193.13685263996</v>
      </c>
      <c r="U35" s="39">
        <f>S35-_xlfn.XLOOKUP($M35*12,'FHA Amotization'!$A$4:$A$363,'FHA Amotization'!$E$4:$E$363,0,0,1)</f>
        <v>460108.54206190957</v>
      </c>
      <c r="V35" s="39">
        <f>(R35+T35)*'Owner Occupier'!$H$35</f>
        <v>96052.819579684801</v>
      </c>
      <c r="W35" s="36">
        <f t="shared" si="2"/>
        <v>-673852.84634087072</v>
      </c>
    </row>
    <row r="36" spans="1:23" x14ac:dyDescent="0.25">
      <c r="A36" s="10"/>
      <c r="B36" s="44" t="s">
        <v>100</v>
      </c>
      <c r="C36" s="44"/>
      <c r="D36" s="52">
        <f>'Closing Costs'!C28</f>
        <v>12232.717286997329</v>
      </c>
      <c r="E36" s="60"/>
      <c r="F36" s="43"/>
      <c r="G36" s="44" t="s">
        <v>42</v>
      </c>
      <c r="H36" s="52">
        <f>(D34+H32)*$H$35</f>
        <v>59339.682841059963</v>
      </c>
      <c r="I36" s="45"/>
      <c r="M36" s="30">
        <v>30</v>
      </c>
      <c r="N36" s="34">
        <f t="shared" si="3"/>
        <v>1303085.2283775082</v>
      </c>
      <c r="O36" s="35">
        <f>N36/P36/M36</f>
        <v>1.45065932372397</v>
      </c>
      <c r="P36" s="36">
        <f>'Owner Occupier'!$D$38</f>
        <v>29942.367286997331</v>
      </c>
      <c r="Q36" s="37">
        <f>'Owner Occupier'!$H$30</f>
        <v>3.5000000000000003E-2</v>
      </c>
      <c r="R36" s="38">
        <f>'Owner Occupier'!$D$24</f>
        <v>505990</v>
      </c>
      <c r="S36" s="38">
        <f>'Owner Occupier'!$D$40</f>
        <v>488280.35</v>
      </c>
      <c r="T36" s="39">
        <f t="shared" si="1"/>
        <v>914219.54664248228</v>
      </c>
      <c r="U36" s="39">
        <f>S36-_xlfn.XLOOKUP($M36*12,'FHA Amotization'!$A$4:$A$363,'FHA Amotization'!$E$4:$E$363,0,0,1)</f>
        <v>488280.34999999974</v>
      </c>
      <c r="V36" s="39">
        <f>(R36+T36)*'Owner Occupier'!$H$35</f>
        <v>99414.668264973763</v>
      </c>
      <c r="W36" s="36">
        <f t="shared" si="2"/>
        <v>-697089.15138710767</v>
      </c>
    </row>
    <row r="37" spans="1:23" x14ac:dyDescent="0.25">
      <c r="A37" s="10"/>
      <c r="B37" s="44" t="s">
        <v>63</v>
      </c>
      <c r="C37" s="44"/>
      <c r="D37" s="50">
        <v>0</v>
      </c>
      <c r="E37" s="45"/>
      <c r="F37" s="43"/>
      <c r="G37" s="56" t="s">
        <v>36</v>
      </c>
      <c r="H37" s="58">
        <f>+H32+H34-H36</f>
        <v>360671.30355217459</v>
      </c>
      <c r="I37" s="45"/>
      <c r="K37" s="2"/>
    </row>
    <row r="38" spans="1:23" x14ac:dyDescent="0.25">
      <c r="A38" s="10"/>
      <c r="B38" s="56" t="s">
        <v>92</v>
      </c>
      <c r="C38" s="56"/>
      <c r="D38" s="61">
        <f>SUM(D35:D37)</f>
        <v>29942.367286997331</v>
      </c>
      <c r="E38" s="45"/>
      <c r="F38" s="43"/>
      <c r="G38" s="56" t="s">
        <v>55</v>
      </c>
      <c r="H38" s="88">
        <f>H37/D38/H31</f>
        <v>0.80303448754322659</v>
      </c>
      <c r="I38" s="45"/>
      <c r="N38" s="34"/>
    </row>
    <row r="39" spans="1:23" ht="18" x14ac:dyDescent="0.25">
      <c r="A39" s="10"/>
      <c r="B39" s="46" t="s">
        <v>80</v>
      </c>
      <c r="C39" s="46"/>
      <c r="D39" s="48" t="s">
        <v>46</v>
      </c>
      <c r="E39" s="48" t="s">
        <v>47</v>
      </c>
      <c r="F39" s="43"/>
      <c r="G39" s="10"/>
      <c r="H39" s="10"/>
      <c r="I39" s="45"/>
    </row>
    <row r="40" spans="1:23" ht="18" x14ac:dyDescent="0.25">
      <c r="A40" s="10"/>
      <c r="B40" s="44" t="s">
        <v>39</v>
      </c>
      <c r="C40" s="44"/>
      <c r="D40" s="52">
        <f>D34-D35</f>
        <v>488280.35</v>
      </c>
      <c r="E40" s="45"/>
      <c r="F40" s="43"/>
      <c r="G40" s="46" t="s">
        <v>74</v>
      </c>
      <c r="H40" s="48"/>
      <c r="I40" s="48"/>
    </row>
    <row r="41" spans="1:23" x14ac:dyDescent="0.25">
      <c r="A41" s="10"/>
      <c r="B41" s="44" t="s">
        <v>81</v>
      </c>
      <c r="C41" s="44"/>
      <c r="D41" s="63">
        <f>Summary!E10</f>
        <v>4.2500000000000003E-2</v>
      </c>
      <c r="E41" s="45"/>
      <c r="F41" s="43"/>
      <c r="G41" s="56" t="s">
        <v>75</v>
      </c>
      <c r="H41" s="66"/>
      <c r="I41" s="58">
        <f>((D34-68000)/27.5)*0.5</f>
        <v>7963.454545454545</v>
      </c>
    </row>
    <row r="42" spans="1:23" x14ac:dyDescent="0.25">
      <c r="A42" s="10"/>
      <c r="B42" s="44" t="s">
        <v>82</v>
      </c>
      <c r="C42" s="44"/>
      <c r="D42" s="55">
        <v>30</v>
      </c>
      <c r="E42" s="45"/>
      <c r="F42" s="43"/>
      <c r="G42" s="10"/>
      <c r="H42" s="10"/>
      <c r="I42" s="10"/>
    </row>
    <row r="43" spans="1:23" ht="18" x14ac:dyDescent="0.25">
      <c r="A43" s="10"/>
      <c r="B43" s="56" t="s">
        <v>83</v>
      </c>
      <c r="C43" s="56"/>
      <c r="D43" s="61">
        <f>-PMT(D41/12,D42*12,$D$40,0,0)</f>
        <v>2402.0458219525212</v>
      </c>
      <c r="E43" s="59">
        <f>D43*12</f>
        <v>28824.549863430257</v>
      </c>
      <c r="F43" s="43"/>
      <c r="G43" s="46" t="s">
        <v>87</v>
      </c>
      <c r="H43" s="48"/>
      <c r="I43" s="48"/>
    </row>
    <row r="44" spans="1:23" ht="18" x14ac:dyDescent="0.25">
      <c r="A44" s="10"/>
      <c r="B44" s="46" t="s">
        <v>64</v>
      </c>
      <c r="C44" s="46"/>
      <c r="D44" s="48" t="s">
        <v>46</v>
      </c>
      <c r="E44" s="48" t="s">
        <v>47</v>
      </c>
      <c r="F44" s="43"/>
      <c r="G44" s="44" t="s">
        <v>88</v>
      </c>
      <c r="H44" s="44"/>
      <c r="I44" s="67">
        <v>6</v>
      </c>
    </row>
    <row r="45" spans="1:23" x14ac:dyDescent="0.25">
      <c r="A45" s="10"/>
      <c r="B45" s="44" t="s">
        <v>84</v>
      </c>
      <c r="C45" s="44"/>
      <c r="D45" s="52">
        <f>D43</f>
        <v>2402.0458219525212</v>
      </c>
      <c r="E45" s="53">
        <f>E43</f>
        <v>28824.549863430257</v>
      </c>
      <c r="F45" s="43"/>
      <c r="G45" s="56" t="s">
        <v>87</v>
      </c>
      <c r="H45" s="68"/>
      <c r="I45" s="58">
        <f>MIN((D56-D52-D54),3500)*I44*0.5</f>
        <v>10500</v>
      </c>
    </row>
    <row r="46" spans="1:23" x14ac:dyDescent="0.25">
      <c r="A46" s="10"/>
      <c r="B46" s="44" t="s">
        <v>65</v>
      </c>
      <c r="C46" s="82">
        <v>2.0030539999999999E-2</v>
      </c>
      <c r="D46" s="52">
        <f>C46*0.9*D34/12</f>
        <v>760.14397009499999</v>
      </c>
      <c r="E46" s="53">
        <f>D46*12</f>
        <v>9121.7276411399998</v>
      </c>
      <c r="F46" s="43"/>
      <c r="G46" s="10"/>
      <c r="H46" s="10"/>
      <c r="I46" s="10"/>
    </row>
    <row r="47" spans="1:23" x14ac:dyDescent="0.25">
      <c r="A47" s="10"/>
      <c r="B47" s="44" t="s">
        <v>101</v>
      </c>
      <c r="C47" s="44"/>
      <c r="D47" s="72">
        <f>E47/12</f>
        <v>101.72507291666666</v>
      </c>
      <c r="E47" s="74">
        <f>0.0025*D40</f>
        <v>1220.700875</v>
      </c>
      <c r="F47" s="43"/>
      <c r="G47" s="10"/>
      <c r="H47" s="10"/>
      <c r="I47" s="10"/>
    </row>
    <row r="48" spans="1:23" x14ac:dyDescent="0.25">
      <c r="A48" s="10"/>
      <c r="B48" s="44" t="s">
        <v>67</v>
      </c>
      <c r="C48" s="44"/>
      <c r="D48" s="50">
        <v>105</v>
      </c>
      <c r="E48" s="53">
        <f>D48*12</f>
        <v>1260</v>
      </c>
      <c r="F48" s="43"/>
      <c r="G48" s="10"/>
      <c r="H48" s="10"/>
      <c r="I48" s="10"/>
    </row>
    <row r="49" spans="1:9" x14ac:dyDescent="0.25">
      <c r="A49" s="10"/>
      <c r="B49" s="56" t="s">
        <v>86</v>
      </c>
      <c r="C49" s="1"/>
      <c r="D49" s="61">
        <f>SUM(D45:D48)</f>
        <v>3368.9148649641879</v>
      </c>
      <c r="E49" s="83">
        <f>SUM(E45:E48)</f>
        <v>40426.978379570261</v>
      </c>
      <c r="F49" s="43"/>
      <c r="G49" s="10"/>
      <c r="H49" s="10"/>
      <c r="I49" s="10"/>
    </row>
    <row r="50" spans="1:9" x14ac:dyDescent="0.25">
      <c r="A50" s="10"/>
      <c r="B50" s="44"/>
      <c r="D50" s="55"/>
      <c r="E50" s="54"/>
      <c r="F50" s="43"/>
      <c r="G50" s="10"/>
      <c r="H50" s="10"/>
      <c r="I50" s="10"/>
    </row>
    <row r="51" spans="1:9" x14ac:dyDescent="0.25">
      <c r="A51" s="10"/>
      <c r="B51" s="44" t="s">
        <v>69</v>
      </c>
      <c r="C51" s="44"/>
      <c r="D51" s="50">
        <f>1000/12</f>
        <v>83.333333333333329</v>
      </c>
      <c r="E51" s="53">
        <f>D51*12</f>
        <v>1000</v>
      </c>
      <c r="F51" s="43"/>
      <c r="G51" s="10"/>
      <c r="H51" s="10"/>
      <c r="I51" s="10"/>
    </row>
    <row r="52" spans="1:9" x14ac:dyDescent="0.25">
      <c r="A52" s="10"/>
      <c r="B52" s="44" t="s">
        <v>70</v>
      </c>
      <c r="C52" s="81">
        <v>0.06</v>
      </c>
      <c r="D52" s="52">
        <f>(H24-D54)*C52</f>
        <v>103.30499999999999</v>
      </c>
      <c r="E52" s="53">
        <f>D52*12</f>
        <v>1239.6599999999999</v>
      </c>
      <c r="F52" s="43"/>
      <c r="G52" s="10"/>
      <c r="H52" s="10"/>
      <c r="I52" s="10"/>
    </row>
    <row r="53" spans="1:9" x14ac:dyDescent="0.25">
      <c r="A53" s="10"/>
      <c r="B53" s="44" t="s">
        <v>102</v>
      </c>
      <c r="C53" s="81">
        <v>0.5</v>
      </c>
      <c r="D53" s="52">
        <f>(C53*H24)/18</f>
        <v>49.305555555555557</v>
      </c>
      <c r="E53" s="53">
        <f>D53*12</f>
        <v>591.66666666666674</v>
      </c>
      <c r="F53" s="43"/>
      <c r="G53" s="10"/>
      <c r="H53" s="10"/>
      <c r="I53" s="10"/>
    </row>
    <row r="54" spans="1:9" x14ac:dyDescent="0.25">
      <c r="A54" s="10"/>
      <c r="B54" s="44" t="s">
        <v>72</v>
      </c>
      <c r="C54" s="81">
        <v>0.03</v>
      </c>
      <c r="D54" s="52">
        <f>C54*H24</f>
        <v>53.25</v>
      </c>
      <c r="E54" s="53">
        <f>D54*12</f>
        <v>639</v>
      </c>
      <c r="F54" s="43"/>
      <c r="G54" s="10"/>
      <c r="H54" s="10"/>
      <c r="I54" s="10"/>
    </row>
    <row r="55" spans="1:9" x14ac:dyDescent="0.25">
      <c r="A55" s="10"/>
      <c r="B55" s="44" t="s">
        <v>90</v>
      </c>
      <c r="C55" s="81">
        <v>0.03</v>
      </c>
      <c r="D55" s="52">
        <f>C55*H24</f>
        <v>53.25</v>
      </c>
      <c r="E55" s="53">
        <f>D55*12</f>
        <v>639</v>
      </c>
      <c r="F55" s="43"/>
      <c r="G55" s="10"/>
      <c r="H55" s="10"/>
      <c r="I55" s="10"/>
    </row>
    <row r="56" spans="1:9" x14ac:dyDescent="0.25">
      <c r="A56" s="10"/>
      <c r="B56" s="56" t="s">
        <v>50</v>
      </c>
      <c r="C56" s="56"/>
      <c r="D56" s="58">
        <f>SUM(D49:D55)</f>
        <v>3711.3587538530769</v>
      </c>
      <c r="E56" s="58">
        <f>SUM(E49:E55)</f>
        <v>44536.305046236921</v>
      </c>
      <c r="F56" s="43"/>
      <c r="G56" s="10"/>
      <c r="H56" s="10"/>
      <c r="I56" s="10"/>
    </row>
    <row r="57" spans="1:9" x14ac:dyDescent="0.25">
      <c r="A57" s="10"/>
      <c r="B57" s="56"/>
      <c r="C57" s="10"/>
      <c r="D57" s="87"/>
      <c r="E57" s="87"/>
      <c r="F57" s="43"/>
      <c r="G57" s="10"/>
      <c r="H57" s="10"/>
      <c r="I57" s="10"/>
    </row>
    <row r="58" spans="1:9" x14ac:dyDescent="0.25">
      <c r="A58" s="10"/>
      <c r="B58" s="56"/>
      <c r="C58" s="10"/>
      <c r="D58" s="87"/>
      <c r="E58" s="87"/>
      <c r="F58" s="43"/>
      <c r="G58" s="10"/>
      <c r="H58" s="10"/>
      <c r="I58" s="10"/>
    </row>
    <row r="59" spans="1:9" x14ac:dyDescent="0.25">
      <c r="A59" s="10"/>
      <c r="B59" s="18" t="s">
        <v>76</v>
      </c>
      <c r="C59" s="18"/>
      <c r="D59" s="17"/>
      <c r="E59" s="16"/>
      <c r="F59" s="10"/>
      <c r="G59" s="10"/>
      <c r="H59" s="10"/>
      <c r="I59" s="10"/>
    </row>
    <row r="60" spans="1:9" ht="55.9" customHeight="1" x14ac:dyDescent="0.25">
      <c r="A60" s="10"/>
      <c r="B60" s="111" t="s">
        <v>77</v>
      </c>
      <c r="C60" s="111"/>
      <c r="D60" s="111"/>
      <c r="E60" s="111"/>
      <c r="F60" s="111"/>
      <c r="G60" s="111"/>
      <c r="H60" s="111"/>
      <c r="I60" s="111"/>
    </row>
    <row r="61" spans="1:9" ht="18" x14ac:dyDescent="0.25">
      <c r="A61" s="10"/>
      <c r="B61" s="110" t="s">
        <v>33</v>
      </c>
      <c r="C61" s="110"/>
      <c r="D61" s="110"/>
      <c r="E61" s="110"/>
      <c r="F61" s="110"/>
      <c r="G61" s="110"/>
      <c r="H61" s="110"/>
      <c r="I61" s="110"/>
    </row>
    <row r="62" spans="1:9" x14ac:dyDescent="0.25">
      <c r="F62" s="10"/>
    </row>
    <row r="63" spans="1:9" x14ac:dyDescent="0.25">
      <c r="F63" s="10"/>
    </row>
    <row r="64" spans="1:9" x14ac:dyDescent="0.25">
      <c r="F64" s="10"/>
    </row>
    <row r="65" spans="6:6" x14ac:dyDescent="0.25">
      <c r="F65" s="10"/>
    </row>
    <row r="66" spans="6:6" x14ac:dyDescent="0.25">
      <c r="F66" s="10"/>
    </row>
    <row r="67" spans="6:6" x14ac:dyDescent="0.25">
      <c r="F67" s="10"/>
    </row>
    <row r="68" spans="6:6" x14ac:dyDescent="0.25">
      <c r="F68" s="10"/>
    </row>
    <row r="69" spans="6:6" x14ac:dyDescent="0.25">
      <c r="F69" s="10"/>
    </row>
  </sheetData>
  <sheetProtection selectLockedCells="1"/>
  <mergeCells count="6">
    <mergeCell ref="B61:I61"/>
    <mergeCell ref="B60:I60"/>
    <mergeCell ref="B1:I1"/>
    <mergeCell ref="B2:I2"/>
    <mergeCell ref="B3:I3"/>
    <mergeCell ref="B4:I4"/>
  </mergeCells>
  <pageMargins left="0.7" right="0.7" top="0.75" bottom="0.75" header="0.3" footer="0.3"/>
  <pageSetup scale="51"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D145C42-4DA8-4B53-8E16-A650A69D3554}">
          <x14:formula1>
            <xm:f>DAta!$A$2:$A$23</xm:f>
          </x14:formula1>
          <xm:sqref>C35</xm:sqref>
        </x14:dataValidation>
        <x14:dataValidation type="list" allowBlank="1" showInputMessage="1" showErrorMessage="1" xr:uid="{78EA05F8-9551-4453-865B-AE6AA2E044AA}">
          <x14:formula1>
            <xm:f>DAta!$C$2:$C$11</xm:f>
          </x14:formula1>
          <xm:sqref>C54</xm:sqref>
        </x14:dataValidation>
        <x14:dataValidation type="list" allowBlank="1" showInputMessage="1" showErrorMessage="1" xr:uid="{4A93B6CD-B338-45C7-B425-89FF9464AD9E}">
          <x14:formula1>
            <xm:f>DAta!$E$2:$E$11</xm:f>
          </x14:formula1>
          <xm:sqref>C55</xm:sqref>
        </x14:dataValidation>
        <x14:dataValidation type="list" allowBlank="1" showInputMessage="1" showErrorMessage="1" xr:uid="{E43978D7-47AE-4B52-A406-915F8A794452}">
          <x14:formula1>
            <xm:f>DAta!$H$2:$H$31</xm:f>
          </x14:formula1>
          <xm:sqref>H31</xm:sqref>
        </x14:dataValidation>
        <x14:dataValidation type="list" allowBlank="1" showInputMessage="1" showErrorMessage="1" xr:uid="{C81CACBD-755A-487D-8C73-B1DF00AE9602}">
          <x14:formula1>
            <xm:f>DAta!$F$2:$F$12</xm:f>
          </x14:formula1>
          <xm:sqref>C52</xm:sqref>
        </x14:dataValidation>
        <x14:dataValidation type="list" allowBlank="1" showInputMessage="1" showErrorMessage="1" xr:uid="{C28D86BE-7283-47DE-B2DB-52AE6FA46654}">
          <x14:formula1>
            <xm:f>DAta!$H$2:$H$7</xm:f>
          </x14:formula1>
          <xm:sqref>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144C-EF48-4C59-BF01-2FEB3ECCCD4C}">
  <sheetPr codeName="Sheet2"/>
  <dimension ref="A1:C31"/>
  <sheetViews>
    <sheetView topLeftCell="A3" workbookViewId="0">
      <selection activeCell="G26" sqref="G26"/>
    </sheetView>
  </sheetViews>
  <sheetFormatPr defaultRowHeight="15" x14ac:dyDescent="0.25"/>
  <cols>
    <col min="1" max="1" width="40.28515625" bestFit="1" customWidth="1"/>
    <col min="2" max="2" width="4.85546875" customWidth="1"/>
    <col min="3" max="3" width="17.28515625" bestFit="1" customWidth="1"/>
    <col min="5" max="5" width="11" bestFit="1" customWidth="1"/>
    <col min="7" max="7" width="11" bestFit="1" customWidth="1"/>
  </cols>
  <sheetData>
    <row r="1" spans="1:3" ht="15.75" customHeight="1" x14ac:dyDescent="0.25">
      <c r="A1" s="7" t="s">
        <v>103</v>
      </c>
      <c r="B1" s="7"/>
      <c r="C1" s="7"/>
    </row>
    <row r="2" spans="1:3" ht="15.75" customHeight="1" x14ac:dyDescent="0.25">
      <c r="A2" s="69"/>
      <c r="B2" s="69"/>
      <c r="C2" s="69"/>
    </row>
    <row r="3" spans="1:3" ht="15.75" x14ac:dyDescent="0.25">
      <c r="A3" s="17" t="s">
        <v>104</v>
      </c>
      <c r="B3" s="11"/>
      <c r="C3" s="21">
        <v>895</v>
      </c>
    </row>
    <row r="4" spans="1:3" x14ac:dyDescent="0.25">
      <c r="A4" s="17" t="s">
        <v>105</v>
      </c>
      <c r="B4" s="13"/>
      <c r="C4" s="21">
        <v>605</v>
      </c>
    </row>
    <row r="5" spans="1:3" x14ac:dyDescent="0.25">
      <c r="A5" s="17" t="s">
        <v>106</v>
      </c>
      <c r="B5" s="10"/>
      <c r="C5" s="21">
        <v>70</v>
      </c>
    </row>
    <row r="6" spans="1:3" ht="15.75" x14ac:dyDescent="0.25">
      <c r="A6" s="24" t="s">
        <v>107</v>
      </c>
      <c r="B6" s="11"/>
      <c r="C6" s="27">
        <f>SUM(C3:C5)</f>
        <v>1570</v>
      </c>
    </row>
    <row r="7" spans="1:3" ht="15.75" x14ac:dyDescent="0.25">
      <c r="A7" s="11"/>
      <c r="B7" s="11"/>
      <c r="C7" s="25"/>
    </row>
    <row r="8" spans="1:3" ht="15.75" x14ac:dyDescent="0.25">
      <c r="A8" s="17" t="str">
        <f>IF(K25="No","Appraisal Pd Outside of Closing","Appraisal Fee ")</f>
        <v xml:space="preserve">Appraisal Fee </v>
      </c>
      <c r="B8" s="11"/>
      <c r="C8" s="21">
        <v>675</v>
      </c>
    </row>
    <row r="9" spans="1:3" ht="15.75" x14ac:dyDescent="0.25">
      <c r="A9" s="17" t="s">
        <v>108</v>
      </c>
      <c r="B9" s="11"/>
      <c r="C9" s="21">
        <v>100</v>
      </c>
    </row>
    <row r="10" spans="1:3" ht="15.75" x14ac:dyDescent="0.25">
      <c r="A10" s="17" t="s">
        <v>109</v>
      </c>
      <c r="B10" s="11"/>
      <c r="C10" s="21">
        <v>94</v>
      </c>
    </row>
    <row r="11" spans="1:3" ht="15.75" x14ac:dyDescent="0.25">
      <c r="A11" s="17" t="s">
        <v>110</v>
      </c>
      <c r="B11" s="11"/>
      <c r="C11" s="21">
        <v>142</v>
      </c>
    </row>
    <row r="12" spans="1:3" ht="15.75" x14ac:dyDescent="0.25">
      <c r="A12" s="17" t="s">
        <v>111</v>
      </c>
      <c r="B12" s="11"/>
      <c r="C12" s="21">
        <v>950</v>
      </c>
    </row>
    <row r="13" spans="1:3" ht="15.75" x14ac:dyDescent="0.25">
      <c r="A13" s="17" t="s">
        <v>112</v>
      </c>
      <c r="B13" s="11"/>
      <c r="C13" s="21">
        <v>2940</v>
      </c>
    </row>
    <row r="14" spans="1:3" ht="15.75" x14ac:dyDescent="0.25">
      <c r="A14" s="17" t="s">
        <v>113</v>
      </c>
      <c r="B14" s="11"/>
      <c r="C14" s="21">
        <v>560.44000000000005</v>
      </c>
    </row>
    <row r="15" spans="1:3" ht="15.75" x14ac:dyDescent="0.25">
      <c r="A15" s="17" t="s">
        <v>114</v>
      </c>
      <c r="B15" s="11"/>
      <c r="C15" s="21">
        <v>800</v>
      </c>
    </row>
    <row r="16" spans="1:3" ht="15.75" x14ac:dyDescent="0.25">
      <c r="A16" s="24" t="s">
        <v>115</v>
      </c>
      <c r="B16" s="19"/>
      <c r="C16" s="27">
        <f>SUM(C6:C15)</f>
        <v>7831.4400000000005</v>
      </c>
    </row>
    <row r="17" spans="1:3" ht="15.75" x14ac:dyDescent="0.25">
      <c r="A17" s="12"/>
      <c r="B17" s="19"/>
      <c r="C17" s="26"/>
    </row>
    <row r="18" spans="1:3" x14ac:dyDescent="0.25">
      <c r="A18" s="17" t="s">
        <v>116</v>
      </c>
      <c r="B18" s="10"/>
      <c r="C18" s="21">
        <f>(('With Loan'!D40*'With Loan'!D41)/365)*15</f>
        <v>545.84537671232874</v>
      </c>
    </row>
    <row r="19" spans="1:3" x14ac:dyDescent="0.25">
      <c r="A19" s="17" t="s">
        <v>117</v>
      </c>
      <c r="B19" s="10"/>
      <c r="C19" s="21">
        <f>'With Loan'!E47</f>
        <v>1260</v>
      </c>
    </row>
    <row r="20" spans="1:3" x14ac:dyDescent="0.25">
      <c r="A20" s="17" t="s">
        <v>118</v>
      </c>
      <c r="B20" s="10"/>
      <c r="C20" s="21">
        <f>((C19+'With Loan'!E46)/12)*3</f>
        <v>2595.431910285</v>
      </c>
    </row>
    <row r="21" spans="1:3" ht="15.75" x14ac:dyDescent="0.25">
      <c r="A21" s="24" t="s">
        <v>119</v>
      </c>
      <c r="B21" s="19"/>
      <c r="C21" s="27">
        <f>SUM(C18:C20)</f>
        <v>4401.2772869973287</v>
      </c>
    </row>
    <row r="22" spans="1:3" ht="15.75" x14ac:dyDescent="0.25">
      <c r="A22" s="11"/>
      <c r="B22" s="10"/>
      <c r="C22" s="20"/>
    </row>
    <row r="23" spans="1:3" ht="15.75" x14ac:dyDescent="0.25">
      <c r="A23" s="24" t="s">
        <v>120</v>
      </c>
      <c r="B23" s="19"/>
      <c r="C23" s="27">
        <f>C21+C16</f>
        <v>12232.717286997329</v>
      </c>
    </row>
    <row r="24" spans="1:3" x14ac:dyDescent="0.25">
      <c r="A24" s="10"/>
      <c r="B24" s="10"/>
      <c r="C24" s="10"/>
    </row>
    <row r="25" spans="1:3" x14ac:dyDescent="0.25">
      <c r="A25" s="28" t="s">
        <v>121</v>
      </c>
      <c r="B25" s="10"/>
      <c r="C25" s="22" t="s">
        <v>122</v>
      </c>
    </row>
    <row r="26" spans="1:3" ht="15.75" x14ac:dyDescent="0.25">
      <c r="A26" s="14" t="s">
        <v>123</v>
      </c>
      <c r="B26" s="10"/>
      <c r="C26" s="23"/>
    </row>
    <row r="27" spans="1:3" x14ac:dyDescent="0.25">
      <c r="A27" s="10"/>
      <c r="B27" s="10"/>
      <c r="C27" s="10"/>
    </row>
    <row r="28" spans="1:3" ht="15.75" x14ac:dyDescent="0.25">
      <c r="A28" s="24" t="s">
        <v>124</v>
      </c>
      <c r="B28" s="10"/>
      <c r="C28" s="27">
        <f>IF(C25="Yes",C26,C23)</f>
        <v>12232.717286997329</v>
      </c>
    </row>
    <row r="31" spans="1:3" x14ac:dyDescent="0.25">
      <c r="C31" s="15"/>
    </row>
  </sheetData>
  <protectedRanges>
    <protectedRange sqref="C6:C7" name="Range1_3"/>
  </protectedRange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6F6416-0D3A-477F-9AA9-2FEA442B5FC7}">
          <x14:formula1>
            <xm:f>DAta!$J$2:$J$3</xm:f>
          </x14:formula1>
          <xm:sqref>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670D-753F-41D5-9D46-B694A30EF4E1}">
  <dimension ref="A1:G363"/>
  <sheetViews>
    <sheetView workbookViewId="0">
      <selection activeCell="F4" sqref="F4:F363"/>
    </sheetView>
  </sheetViews>
  <sheetFormatPr defaultRowHeight="15" x14ac:dyDescent="0.25"/>
  <cols>
    <col min="2" max="2" width="17.28515625" bestFit="1" customWidth="1"/>
    <col min="3" max="3" width="23.5703125" bestFit="1" customWidth="1"/>
    <col min="4" max="4" width="23.5703125" customWidth="1"/>
    <col min="5" max="5" width="17.28515625" bestFit="1" customWidth="1"/>
    <col min="6" max="6" width="16.28515625" bestFit="1" customWidth="1"/>
    <col min="7" max="7" width="26.5703125" bestFit="1" customWidth="1"/>
  </cols>
  <sheetData>
    <row r="1" spans="1:7" ht="18.75" x14ac:dyDescent="0.3">
      <c r="A1" s="114" t="s">
        <v>125</v>
      </c>
      <c r="B1" s="114"/>
      <c r="C1" s="114"/>
      <c r="D1" s="5"/>
      <c r="E1" s="5"/>
    </row>
    <row r="2" spans="1:7" x14ac:dyDescent="0.25">
      <c r="E2" s="15"/>
    </row>
    <row r="3" spans="1:7" x14ac:dyDescent="0.25">
      <c r="A3" s="1" t="s">
        <v>126</v>
      </c>
      <c r="B3" s="1" t="s">
        <v>127</v>
      </c>
      <c r="C3" s="1" t="s">
        <v>128</v>
      </c>
      <c r="D3" s="1" t="s">
        <v>129</v>
      </c>
      <c r="E3" s="1" t="s">
        <v>130</v>
      </c>
      <c r="F3" s="1" t="s">
        <v>131</v>
      </c>
      <c r="G3" s="1" t="s">
        <v>132</v>
      </c>
    </row>
    <row r="4" spans="1:7" x14ac:dyDescent="0.25">
      <c r="A4">
        <v>1</v>
      </c>
      <c r="B4" s="4">
        <f>-PPMT('Owner Occupier'!$D$41/12,'FHA Amotization'!$A4,360,'Owner Occupier'!$D$40,0,0)</f>
        <v>672.71958236918806</v>
      </c>
      <c r="C4" s="4">
        <f>-IPMT('Owner Occupier'!$D$41/12,'FHA Amotization'!$A4,360,'Owner Occupier'!$D$40,0,0)</f>
        <v>1729.3262395833333</v>
      </c>
      <c r="D4" s="4">
        <f>B4+C4</f>
        <v>2402.0458219525212</v>
      </c>
      <c r="E4" s="4">
        <f>'Owner Occupier'!$D$40-'FHA Amotization'!B4</f>
        <v>487607.63041763077</v>
      </c>
      <c r="F4" s="4">
        <f>('Owner Occupier'!$H$24-'Owner Occupier'!$D$52)/('Owner Occupier'!$D$56-'Owner Occupier'!$D$52)*B4</f>
        <v>311.68658755366585</v>
      </c>
      <c r="G4" s="4">
        <f>F4</f>
        <v>311.68658755366585</v>
      </c>
    </row>
    <row r="5" spans="1:7" x14ac:dyDescent="0.25">
      <c r="A5">
        <v>2</v>
      </c>
      <c r="B5" s="4">
        <f>-PPMT('Owner Occupier'!$D$41/12,'FHA Amotization'!$A5,360,'Owner Occupier'!$D$40,0,0)</f>
        <v>675.1021308900788</v>
      </c>
      <c r="C5" s="4">
        <f>-IPMT('Owner Occupier'!$D$41/12,'FHA Amotization'!$A5,360,'Owner Occupier'!$D$40,0,0)</f>
        <v>1726.9436910624427</v>
      </c>
      <c r="D5" s="4">
        <f t="shared" ref="D5:D68" si="0">B5+C5</f>
        <v>2402.0458219525217</v>
      </c>
      <c r="E5" s="3">
        <f>E4-B5</f>
        <v>486932.52828674071</v>
      </c>
      <c r="F5" s="4">
        <f>('Owner Occupier'!$H$24-'Owner Occupier'!$D$52)/('Owner Occupier'!$D$56-'Owner Occupier'!$D$52)*B5</f>
        <v>312.79047755125168</v>
      </c>
      <c r="G5" s="4">
        <f>F5+G4</f>
        <v>624.47706510491753</v>
      </c>
    </row>
    <row r="6" spans="1:7" x14ac:dyDescent="0.25">
      <c r="A6">
        <v>3</v>
      </c>
      <c r="B6" s="4">
        <f>-PPMT('Owner Occupier'!$D$41/12,'FHA Amotization'!$A6,360,'Owner Occupier'!$D$40,0,0)</f>
        <v>677.49311760364787</v>
      </c>
      <c r="C6" s="4">
        <f>-IPMT('Owner Occupier'!$D$41/12,'FHA Amotization'!$A6,360,'Owner Occupier'!$D$40,0,0)</f>
        <v>1724.5527043488735</v>
      </c>
      <c r="D6" s="4">
        <f t="shared" si="0"/>
        <v>2402.0458219525212</v>
      </c>
      <c r="E6" s="3">
        <f t="shared" ref="E6:E69" si="1">E5-B6</f>
        <v>486255.03516913706</v>
      </c>
      <c r="F6" s="4">
        <f>('Owner Occupier'!$H$24-'Owner Occupier'!$D$52)/('Owner Occupier'!$D$56-'Owner Occupier'!$D$52)*B6</f>
        <v>313.89827715924571</v>
      </c>
      <c r="G6" s="4">
        <f t="shared" ref="G6:G69" si="2">F6+G5</f>
        <v>938.37534226416324</v>
      </c>
    </row>
    <row r="7" spans="1:7" x14ac:dyDescent="0.25">
      <c r="A7">
        <v>4</v>
      </c>
      <c r="B7" s="4">
        <f>-PPMT('Owner Occupier'!$D$41/12,'FHA Amotization'!$A7,360,'Owner Occupier'!$D$40,0,0)</f>
        <v>679.89257239516076</v>
      </c>
      <c r="C7" s="4">
        <f>-IPMT('Owner Occupier'!$D$41/12,'FHA Amotization'!$A7,360,'Owner Occupier'!$D$40,0,0)</f>
        <v>1722.1532495573608</v>
      </c>
      <c r="D7" s="4">
        <f t="shared" si="0"/>
        <v>2402.0458219525217</v>
      </c>
      <c r="E7" s="3">
        <f t="shared" si="1"/>
        <v>485575.14259674191</v>
      </c>
      <c r="F7" s="4">
        <f>('Owner Occupier'!$H$24-'Owner Occupier'!$D$52)/('Owner Occupier'!$D$56-'Owner Occupier'!$D$52)*B7</f>
        <v>315.01000022418469</v>
      </c>
      <c r="G7" s="4">
        <f t="shared" si="2"/>
        <v>1253.385342488348</v>
      </c>
    </row>
    <row r="8" spans="1:7" x14ac:dyDescent="0.25">
      <c r="A8">
        <v>5</v>
      </c>
      <c r="B8" s="4">
        <f>-PPMT('Owner Occupier'!$D$41/12,'FHA Amotization'!$A8,360,'Owner Occupier'!$D$40,0,0)</f>
        <v>682.30052525572705</v>
      </c>
      <c r="C8" s="4">
        <f>-IPMT('Owner Occupier'!$D$41/12,'FHA Amotization'!$A8,360,'Owner Occupier'!$D$40,0,0)</f>
        <v>1719.7452966967946</v>
      </c>
      <c r="D8" s="4">
        <f t="shared" si="0"/>
        <v>2402.0458219525217</v>
      </c>
      <c r="E8" s="3">
        <f t="shared" si="1"/>
        <v>484892.84207148617</v>
      </c>
      <c r="F8" s="4">
        <f>('Owner Occupier'!$H$24-'Owner Occupier'!$D$52)/('Owner Occupier'!$D$56-'Owner Occupier'!$D$52)*B8</f>
        <v>316.12566064164537</v>
      </c>
      <c r="G8" s="4">
        <f t="shared" si="2"/>
        <v>1569.5110031299932</v>
      </c>
    </row>
    <row r="9" spans="1:7" x14ac:dyDescent="0.25">
      <c r="A9">
        <v>6</v>
      </c>
      <c r="B9" s="4">
        <f>-PPMT('Owner Occupier'!$D$41/12,'FHA Amotization'!$A9,360,'Owner Occupier'!$D$40,0,0)</f>
        <v>684.71700628267433</v>
      </c>
      <c r="C9" s="4">
        <f>-IPMT('Owner Occupier'!$D$41/12,'FHA Amotization'!$A9,360,'Owner Occupier'!$D$40,0,0)</f>
        <v>1717.3288156698472</v>
      </c>
      <c r="D9" s="4">
        <f t="shared" si="0"/>
        <v>2402.0458219525217</v>
      </c>
      <c r="E9" s="3">
        <f t="shared" si="1"/>
        <v>484208.12506520352</v>
      </c>
      <c r="F9" s="4">
        <f>('Owner Occupier'!$H$24-'Owner Occupier'!$D$52)/('Owner Occupier'!$D$56-'Owner Occupier'!$D$52)*B9</f>
        <v>317.24527235641784</v>
      </c>
      <c r="G9" s="4">
        <f t="shared" si="2"/>
        <v>1886.7562754864111</v>
      </c>
    </row>
    <row r="10" spans="1:7" x14ac:dyDescent="0.25">
      <c r="A10">
        <v>7</v>
      </c>
      <c r="B10" s="4">
        <f>-PPMT('Owner Occupier'!$D$41/12,'FHA Amotization'!$A10,360,'Owner Occupier'!$D$40,0,0)</f>
        <v>687.14204567992556</v>
      </c>
      <c r="C10" s="4">
        <f>-IPMT('Owner Occupier'!$D$41/12,'FHA Amotization'!$A10,360,'Owner Occupier'!$D$40,0,0)</f>
        <v>1714.9037762725959</v>
      </c>
      <c r="D10" s="4">
        <f t="shared" si="0"/>
        <v>2402.0458219525217</v>
      </c>
      <c r="E10" s="3">
        <f t="shared" si="1"/>
        <v>483520.98301952361</v>
      </c>
      <c r="F10" s="4">
        <f>('Owner Occupier'!$H$24-'Owner Occupier'!$D$52)/('Owner Occupier'!$D$56-'Owner Occupier'!$D$52)*B10</f>
        <v>318.36884936268018</v>
      </c>
      <c r="G10" s="4">
        <f t="shared" si="2"/>
        <v>2205.1251248490912</v>
      </c>
    </row>
    <row r="11" spans="1:7" x14ac:dyDescent="0.25">
      <c r="A11">
        <v>8</v>
      </c>
      <c r="B11" s="4">
        <f>-PPMT('Owner Occupier'!$D$41/12,'FHA Amotization'!$A11,360,'Owner Occupier'!$D$40,0,0)</f>
        <v>689.57567375837516</v>
      </c>
      <c r="C11" s="4">
        <f>-IPMT('Owner Occupier'!$D$41/12,'FHA Amotization'!$A11,360,'Owner Occupier'!$D$40,0,0)</f>
        <v>1712.4701481941463</v>
      </c>
      <c r="D11" s="4">
        <f t="shared" si="0"/>
        <v>2402.0458219525217</v>
      </c>
      <c r="E11" s="3">
        <f t="shared" si="1"/>
        <v>482831.40734576521</v>
      </c>
      <c r="F11" s="4">
        <f>('Owner Occupier'!$H$24-'Owner Occupier'!$D$52)/('Owner Occupier'!$D$56-'Owner Occupier'!$D$52)*B11</f>
        <v>319.49640570417296</v>
      </c>
      <c r="G11" s="4">
        <f t="shared" si="2"/>
        <v>2524.6215305532642</v>
      </c>
    </row>
    <row r="12" spans="1:7" x14ac:dyDescent="0.25">
      <c r="A12">
        <v>9</v>
      </c>
      <c r="B12" s="4">
        <f>-PPMT('Owner Occupier'!$D$41/12,'FHA Amotization'!$A12,360,'Owner Occupier'!$D$40,0,0)</f>
        <v>692.01792093626943</v>
      </c>
      <c r="C12" s="4">
        <f>-IPMT('Owner Occupier'!$D$41/12,'FHA Amotization'!$A12,360,'Owner Occupier'!$D$40,0,0)</f>
        <v>1710.0279010162519</v>
      </c>
      <c r="D12" s="4">
        <f t="shared" si="0"/>
        <v>2402.0458219525212</v>
      </c>
      <c r="E12" s="3">
        <f t="shared" si="1"/>
        <v>482139.38942482893</v>
      </c>
      <c r="F12" s="4">
        <f>('Owner Occupier'!$H$24-'Owner Occupier'!$D$52)/('Owner Occupier'!$D$56-'Owner Occupier'!$D$52)*B12</f>
        <v>320.62795547437526</v>
      </c>
      <c r="G12" s="4">
        <f t="shared" si="2"/>
        <v>2845.2494860276393</v>
      </c>
    </row>
    <row r="13" spans="1:7" x14ac:dyDescent="0.25">
      <c r="A13">
        <v>10</v>
      </c>
      <c r="B13" s="4">
        <f>-PPMT('Owner Occupier'!$D$41/12,'FHA Amotization'!$A13,360,'Owner Occupier'!$D$40,0,0)</f>
        <v>694.46881773958535</v>
      </c>
      <c r="C13" s="4">
        <f>-IPMT('Owner Occupier'!$D$41/12,'FHA Amotization'!$A13,360,'Owner Occupier'!$D$40,0,0)</f>
        <v>1707.5770042129361</v>
      </c>
      <c r="D13" s="4">
        <f t="shared" si="0"/>
        <v>2402.0458219525217</v>
      </c>
      <c r="E13" s="3">
        <f t="shared" si="1"/>
        <v>481444.92060708936</v>
      </c>
      <c r="F13" s="4">
        <f>('Owner Occupier'!$H$24-'Owner Occupier'!$D$52)/('Owner Occupier'!$D$56-'Owner Occupier'!$D$52)*B13</f>
        <v>321.7635128166803</v>
      </c>
      <c r="G13" s="4">
        <f t="shared" si="2"/>
        <v>3167.0129988443196</v>
      </c>
    </row>
    <row r="14" spans="1:7" x14ac:dyDescent="0.25">
      <c r="A14">
        <v>11</v>
      </c>
      <c r="B14" s="4">
        <f>-PPMT('Owner Occupier'!$D$41/12,'FHA Amotization'!$A14,360,'Owner Occupier'!$D$40,0,0)</f>
        <v>696.92839480241321</v>
      </c>
      <c r="C14" s="4">
        <f>-IPMT('Owner Occupier'!$D$41/12,'FHA Amotization'!$A14,360,'Owner Occupier'!$D$40,0,0)</f>
        <v>1705.1174271501081</v>
      </c>
      <c r="D14" s="4">
        <f t="shared" si="0"/>
        <v>2402.0458219525212</v>
      </c>
      <c r="E14" s="3">
        <f t="shared" si="1"/>
        <v>480747.99221228692</v>
      </c>
      <c r="F14" s="4">
        <f>('Owner Occupier'!$H$24-'Owner Occupier'!$D$52)/('Owner Occupier'!$D$56-'Owner Occupier'!$D$52)*B14</f>
        <v>322.90309192457278</v>
      </c>
      <c r="G14" s="4">
        <f t="shared" si="2"/>
        <v>3489.9160907688924</v>
      </c>
    </row>
    <row r="15" spans="1:7" x14ac:dyDescent="0.25">
      <c r="A15">
        <v>12</v>
      </c>
      <c r="B15" s="4">
        <f>-PPMT('Owner Occupier'!$D$41/12,'FHA Amotization'!$A15,360,'Owner Occupier'!$D$40,0,0)</f>
        <v>699.39668286733831</v>
      </c>
      <c r="C15" s="4">
        <f>-IPMT('Owner Occupier'!$D$41/12,'FHA Amotization'!$A15,360,'Owner Occupier'!$D$40,0,0)</f>
        <v>1702.6491390851832</v>
      </c>
      <c r="D15" s="4">
        <f t="shared" si="0"/>
        <v>2402.0458219525217</v>
      </c>
      <c r="E15" s="3">
        <f t="shared" si="1"/>
        <v>480048.5955294196</v>
      </c>
      <c r="F15" s="4">
        <f>('Owner Occupier'!$H$24-'Owner Occupier'!$D$52)/('Owner Occupier'!$D$56-'Owner Occupier'!$D$52)*B15</f>
        <v>324.04670704180558</v>
      </c>
      <c r="G15" s="4">
        <f t="shared" si="2"/>
        <v>3813.9627978106982</v>
      </c>
    </row>
    <row r="16" spans="1:7" x14ac:dyDescent="0.25">
      <c r="A16">
        <v>13</v>
      </c>
      <c r="B16" s="4">
        <f>-PPMT('Owner Occupier'!$D$41/12,'FHA Amotization'!$A16,360,'Owner Occupier'!$D$40,0,0)</f>
        <v>701.8737127858268</v>
      </c>
      <c r="C16" s="4">
        <f>-IPMT('Owner Occupier'!$D$41/12,'FHA Amotization'!$A16,360,'Owner Occupier'!$D$40,0,0)</f>
        <v>1700.1721091666946</v>
      </c>
      <c r="D16" s="4">
        <f t="shared" si="0"/>
        <v>2402.0458219525212</v>
      </c>
      <c r="E16" s="3">
        <f t="shared" si="1"/>
        <v>479346.72181663377</v>
      </c>
      <c r="F16" s="4">
        <f>('Owner Occupier'!$H$24-'Owner Occupier'!$D$52)/('Owner Occupier'!$D$56-'Owner Occupier'!$D$52)*B16</f>
        <v>325.19437246257866</v>
      </c>
      <c r="G16" s="4">
        <f t="shared" si="2"/>
        <v>4139.1571702732772</v>
      </c>
    </row>
    <row r="17" spans="1:7" x14ac:dyDescent="0.25">
      <c r="A17">
        <v>14</v>
      </c>
      <c r="B17" s="4">
        <f>-PPMT('Owner Occupier'!$D$41/12,'FHA Amotization'!$A17,360,'Owner Occupier'!$D$40,0,0)</f>
        <v>704.3595155186099</v>
      </c>
      <c r="C17" s="4">
        <f>-IPMT('Owner Occupier'!$D$41/12,'FHA Amotization'!$A17,360,'Owner Occupier'!$D$40,0,0)</f>
        <v>1697.6863064339116</v>
      </c>
      <c r="D17" s="4">
        <f t="shared" si="0"/>
        <v>2402.0458219525217</v>
      </c>
      <c r="E17" s="3">
        <f t="shared" si="1"/>
        <v>478642.36230111518</v>
      </c>
      <c r="F17" s="4">
        <f>('Owner Occupier'!$H$24-'Owner Occupier'!$D$52)/('Owner Occupier'!$D$56-'Owner Occupier'!$D$52)*B17</f>
        <v>326.34610253171695</v>
      </c>
      <c r="G17" s="4">
        <f t="shared" si="2"/>
        <v>4465.5032728049937</v>
      </c>
    </row>
    <row r="18" spans="1:7" x14ac:dyDescent="0.25">
      <c r="A18">
        <v>15</v>
      </c>
      <c r="B18" s="4">
        <f>-PPMT('Owner Occupier'!$D$41/12,'FHA Amotization'!$A18,360,'Owner Occupier'!$D$40,0,0)</f>
        <v>706.85412213607174</v>
      </c>
      <c r="C18" s="4">
        <f>-IPMT('Owner Occupier'!$D$41/12,'FHA Amotization'!$A18,360,'Owner Occupier'!$D$40,0,0)</f>
        <v>1695.1916998164497</v>
      </c>
      <c r="D18" s="4">
        <f t="shared" si="0"/>
        <v>2402.0458219525217</v>
      </c>
      <c r="E18" s="3">
        <f t="shared" si="1"/>
        <v>477935.5081789791</v>
      </c>
      <c r="F18" s="4">
        <f>('Owner Occupier'!$H$24-'Owner Occupier'!$D$52)/('Owner Occupier'!$D$56-'Owner Occupier'!$D$52)*B18</f>
        <v>327.50191164485017</v>
      </c>
      <c r="G18" s="4">
        <f t="shared" si="2"/>
        <v>4793.0051844498439</v>
      </c>
    </row>
    <row r="19" spans="1:7" x14ac:dyDescent="0.25">
      <c r="A19">
        <v>16</v>
      </c>
      <c r="B19" s="4">
        <f>-PPMT('Owner Occupier'!$D$41/12,'FHA Amotization'!$A19,360,'Owner Occupier'!$D$40,0,0)</f>
        <v>709.357563818637</v>
      </c>
      <c r="C19" s="4">
        <f>-IPMT('Owner Occupier'!$D$41/12,'FHA Amotization'!$A19,360,'Owner Occupier'!$D$40,0,0)</f>
        <v>1692.6882581338843</v>
      </c>
      <c r="D19" s="4">
        <f t="shared" si="0"/>
        <v>2402.0458219525212</v>
      </c>
      <c r="E19" s="3">
        <f t="shared" si="1"/>
        <v>477226.15061516047</v>
      </c>
      <c r="F19" s="4">
        <f>('Owner Occupier'!$H$24-'Owner Occupier'!$D$52)/('Owner Occupier'!$D$56-'Owner Occupier'!$D$52)*B19</f>
        <v>328.66181424859235</v>
      </c>
      <c r="G19" s="4">
        <f t="shared" si="2"/>
        <v>5121.6669986984361</v>
      </c>
    </row>
    <row r="20" spans="1:7" x14ac:dyDescent="0.25">
      <c r="A20">
        <v>17</v>
      </c>
      <c r="B20" s="4">
        <f>-PPMT('Owner Occupier'!$D$41/12,'FHA Amotization'!$A20,360,'Owner Occupier'!$D$40,0,0)</f>
        <v>711.86987185716134</v>
      </c>
      <c r="C20" s="4">
        <f>-IPMT('Owner Occupier'!$D$41/12,'FHA Amotization'!$A20,360,'Owner Occupier'!$D$40,0,0)</f>
        <v>1690.1759500953601</v>
      </c>
      <c r="D20" s="4">
        <f t="shared" si="0"/>
        <v>2402.0458219525217</v>
      </c>
      <c r="E20" s="3">
        <f t="shared" si="1"/>
        <v>476514.2807433033</v>
      </c>
      <c r="F20" s="4">
        <f>('Owner Occupier'!$H$24-'Owner Occupier'!$D$52)/('Owner Occupier'!$D$56-'Owner Occupier'!$D$52)*B20</f>
        <v>329.82582484072276</v>
      </c>
      <c r="G20" s="4">
        <f t="shared" si="2"/>
        <v>5451.492823539159</v>
      </c>
    </row>
    <row r="21" spans="1:7" x14ac:dyDescent="0.25">
      <c r="A21">
        <v>18</v>
      </c>
      <c r="B21" s="4">
        <f>-PPMT('Owner Occupier'!$D$41/12,'FHA Amotization'!$A21,360,'Owner Occupier'!$D$40,0,0)</f>
        <v>714.3910776533221</v>
      </c>
      <c r="C21" s="4">
        <f>-IPMT('Owner Occupier'!$D$41/12,'FHA Amotization'!$A21,360,'Owner Occupier'!$D$40,0,0)</f>
        <v>1687.6547442991996</v>
      </c>
      <c r="D21" s="4">
        <f t="shared" si="0"/>
        <v>2402.0458219525217</v>
      </c>
      <c r="E21" s="3">
        <f t="shared" si="1"/>
        <v>475799.88966564997</v>
      </c>
      <c r="F21" s="4">
        <f>('Owner Occupier'!$H$24-'Owner Occupier'!$D$52)/('Owner Occupier'!$D$56-'Owner Occupier'!$D$52)*B21</f>
        <v>330.99395797036698</v>
      </c>
      <c r="G21" s="4">
        <f t="shared" si="2"/>
        <v>5782.4867815095258</v>
      </c>
    </row>
    <row r="22" spans="1:7" x14ac:dyDescent="0.25">
      <c r="A22">
        <v>19</v>
      </c>
      <c r="B22" s="4">
        <f>-PPMT('Owner Occupier'!$D$41/12,'FHA Amotization'!$A22,360,'Owner Occupier'!$D$40,0,0)</f>
        <v>716.92121272001111</v>
      </c>
      <c r="C22" s="4">
        <f>-IPMT('Owner Occupier'!$D$41/12,'FHA Amotization'!$A22,360,'Owner Occupier'!$D$40,0,0)</f>
        <v>1685.1246092325105</v>
      </c>
      <c r="D22" s="4">
        <f t="shared" si="0"/>
        <v>2402.0458219525217</v>
      </c>
      <c r="E22" s="3">
        <f t="shared" si="1"/>
        <v>475082.96845292998</v>
      </c>
      <c r="F22" s="4">
        <f>('Owner Occupier'!$H$24-'Owner Occupier'!$D$52)/('Owner Occupier'!$D$56-'Owner Occupier'!$D$52)*B22</f>
        <v>332.1662282381788</v>
      </c>
      <c r="G22" s="4">
        <f t="shared" si="2"/>
        <v>6114.6530097477043</v>
      </c>
    </row>
    <row r="23" spans="1:7" x14ac:dyDescent="0.25">
      <c r="A23">
        <v>20</v>
      </c>
      <c r="B23" s="4">
        <f>-PPMT('Owner Occupier'!$D$41/12,'FHA Amotization'!$A23,360,'Owner Occupier'!$D$40,0,0)</f>
        <v>719.46030868172772</v>
      </c>
      <c r="C23" s="4">
        <f>-IPMT('Owner Occupier'!$D$41/12,'FHA Amotization'!$A23,360,'Owner Occupier'!$D$40,0,0)</f>
        <v>1682.5855132707939</v>
      </c>
      <c r="D23" s="4">
        <f t="shared" si="0"/>
        <v>2402.0458219525217</v>
      </c>
      <c r="E23" s="3">
        <f t="shared" si="1"/>
        <v>474363.50814424828</v>
      </c>
      <c r="F23" s="4">
        <f>('Owner Occupier'!$H$24-'Owner Occupier'!$D$52)/('Owner Occupier'!$D$56-'Owner Occupier'!$D$52)*B23</f>
        <v>333.34265029652227</v>
      </c>
      <c r="G23" s="4">
        <f t="shared" si="2"/>
        <v>6447.9956600442265</v>
      </c>
    </row>
    <row r="24" spans="1:7" x14ac:dyDescent="0.25">
      <c r="A24">
        <v>21</v>
      </c>
      <c r="B24" s="4">
        <f>-PPMT('Owner Occupier'!$D$41/12,'FHA Amotization'!$A24,360,'Owner Occupier'!$D$40,0,0)</f>
        <v>722.00839727497544</v>
      </c>
      <c r="C24" s="4">
        <f>-IPMT('Owner Occupier'!$D$41/12,'FHA Amotization'!$A24,360,'Owner Occupier'!$D$40,0,0)</f>
        <v>1680.0374246775459</v>
      </c>
      <c r="D24" s="4">
        <f t="shared" si="0"/>
        <v>2402.0458219525212</v>
      </c>
      <c r="E24" s="3">
        <f t="shared" si="1"/>
        <v>473641.49974697328</v>
      </c>
      <c r="F24" s="4">
        <f>('Owner Occupier'!$H$24-'Owner Occupier'!$D$52)/('Owner Occupier'!$D$56-'Owner Occupier'!$D$52)*B24</f>
        <v>334.52323884965574</v>
      </c>
      <c r="G24" s="4">
        <f t="shared" si="2"/>
        <v>6782.5188988938826</v>
      </c>
    </row>
    <row r="25" spans="1:7" x14ac:dyDescent="0.25">
      <c r="A25">
        <v>22</v>
      </c>
      <c r="B25" s="4">
        <f>-PPMT('Owner Occupier'!$D$41/12,'FHA Amotization'!$A25,360,'Owner Occupier'!$D$40,0,0)</f>
        <v>724.56551034865765</v>
      </c>
      <c r="C25" s="4">
        <f>-IPMT('Owner Occupier'!$D$41/12,'FHA Amotization'!$A25,360,'Owner Occupier'!$D$40,0,0)</f>
        <v>1677.4803116038638</v>
      </c>
      <c r="D25" s="4">
        <f t="shared" si="0"/>
        <v>2402.0458219525217</v>
      </c>
      <c r="E25" s="3">
        <f t="shared" si="1"/>
        <v>472916.93423662463</v>
      </c>
      <c r="F25" s="4">
        <f>('Owner Occupier'!$H$24-'Owner Occupier'!$D$52)/('Owner Occupier'!$D$56-'Owner Occupier'!$D$52)*B25</f>
        <v>335.70800865391499</v>
      </c>
      <c r="G25" s="4">
        <f t="shared" si="2"/>
        <v>7118.226907547798</v>
      </c>
    </row>
    <row r="26" spans="1:7" x14ac:dyDescent="0.25">
      <c r="A26">
        <v>23</v>
      </c>
      <c r="B26" s="4">
        <f>-PPMT('Owner Occupier'!$D$41/12,'FHA Amotization'!$A26,360,'Owner Occupier'!$D$40,0,0)</f>
        <v>727.13167986447581</v>
      </c>
      <c r="C26" s="4">
        <f>-IPMT('Owner Occupier'!$D$41/12,'FHA Amotization'!$A26,360,'Owner Occupier'!$D$40,0,0)</f>
        <v>1674.9141420880458</v>
      </c>
      <c r="D26" s="4">
        <f t="shared" si="0"/>
        <v>2402.0458219525217</v>
      </c>
      <c r="E26" s="3">
        <f t="shared" si="1"/>
        <v>472189.80255676014</v>
      </c>
      <c r="F26" s="4">
        <f>('Owner Occupier'!$H$24-'Owner Occupier'!$D$52)/('Owner Occupier'!$D$56-'Owner Occupier'!$D$52)*B26</f>
        <v>336.8969745178976</v>
      </c>
      <c r="G26" s="4">
        <f t="shared" si="2"/>
        <v>7455.1238820656954</v>
      </c>
    </row>
    <row r="27" spans="1:7" x14ac:dyDescent="0.25">
      <c r="A27">
        <v>24</v>
      </c>
      <c r="B27" s="4">
        <f>-PPMT('Owner Occupier'!$D$41/12,'FHA Amotization'!$A27,360,'Owner Occupier'!$D$40,0,0)</f>
        <v>729.70693789732934</v>
      </c>
      <c r="C27" s="4">
        <f>-IPMT('Owner Occupier'!$D$41/12,'FHA Amotization'!$A27,360,'Owner Occupier'!$D$40,0,0)</f>
        <v>1672.3388840551918</v>
      </c>
      <c r="D27" s="4">
        <f t="shared" si="0"/>
        <v>2402.0458219525212</v>
      </c>
      <c r="E27" s="3">
        <f t="shared" si="1"/>
        <v>471460.09561886283</v>
      </c>
      <c r="F27" s="4">
        <f>('Owner Occupier'!$H$24-'Owner Occupier'!$D$52)/('Owner Occupier'!$D$56-'Owner Occupier'!$D$52)*B27</f>
        <v>338.09015130264856</v>
      </c>
      <c r="G27" s="4">
        <f t="shared" si="2"/>
        <v>7793.2140333683437</v>
      </c>
    </row>
    <row r="28" spans="1:7" x14ac:dyDescent="0.25">
      <c r="A28">
        <v>25</v>
      </c>
      <c r="B28" s="4">
        <f>-PPMT('Owner Occupier'!$D$41/12,'FHA Amotization'!$A28,360,'Owner Occupier'!$D$40,0,0)</f>
        <v>732.29131663571559</v>
      </c>
      <c r="C28" s="4">
        <f>-IPMT('Owner Occupier'!$D$41/12,'FHA Amotization'!$A28,360,'Owner Occupier'!$D$40,0,0)</f>
        <v>1669.754505316806</v>
      </c>
      <c r="D28" s="4">
        <f t="shared" si="0"/>
        <v>2402.0458219525217</v>
      </c>
      <c r="E28" s="3">
        <f t="shared" si="1"/>
        <v>470727.8043022271</v>
      </c>
      <c r="F28" s="4">
        <f>('Owner Occupier'!$H$24-'Owner Occupier'!$D$52)/('Owner Occupier'!$D$56-'Owner Occupier'!$D$52)*B28</f>
        <v>339.28755392184536</v>
      </c>
      <c r="G28" s="4">
        <f t="shared" si="2"/>
        <v>8132.5015872901895</v>
      </c>
    </row>
    <row r="29" spans="1:7" x14ac:dyDescent="0.25">
      <c r="A29">
        <v>26</v>
      </c>
      <c r="B29" s="4">
        <f>-PPMT('Owner Occupier'!$D$41/12,'FHA Amotization'!$A29,360,'Owner Occupier'!$D$40,0,0)</f>
        <v>734.88484838213378</v>
      </c>
      <c r="C29" s="4">
        <f>-IPMT('Owner Occupier'!$D$41/12,'FHA Amotization'!$A29,360,'Owner Occupier'!$D$40,0,0)</f>
        <v>1667.1609735703876</v>
      </c>
      <c r="D29" s="4">
        <f t="shared" si="0"/>
        <v>2402.0458219525212</v>
      </c>
      <c r="E29" s="3">
        <f t="shared" si="1"/>
        <v>469992.91945384495</v>
      </c>
      <c r="F29" s="4">
        <f>('Owner Occupier'!$H$24-'Owner Occupier'!$D$52)/('Owner Occupier'!$D$56-'Owner Occupier'!$D$52)*B29</f>
        <v>340.48919734198523</v>
      </c>
      <c r="G29" s="4">
        <f t="shared" si="2"/>
        <v>8472.9907846321748</v>
      </c>
    </row>
    <row r="30" spans="1:7" x14ac:dyDescent="0.25">
      <c r="A30">
        <v>27</v>
      </c>
      <c r="B30" s="4">
        <f>-PPMT('Owner Occupier'!$D$41/12,'FHA Amotization'!$A30,360,'Owner Occupier'!$D$40,0,0)</f>
        <v>737.48756555348712</v>
      </c>
      <c r="C30" s="4">
        <f>-IPMT('Owner Occupier'!$D$41/12,'FHA Amotization'!$A30,360,'Owner Occupier'!$D$40,0,0)</f>
        <v>1664.5582563990342</v>
      </c>
      <c r="D30" s="4">
        <f t="shared" si="0"/>
        <v>2402.0458219525212</v>
      </c>
      <c r="E30" s="3">
        <f t="shared" si="1"/>
        <v>469255.43188829144</v>
      </c>
      <c r="F30" s="4">
        <f>('Owner Occupier'!$H$24-'Owner Occupier'!$D$52)/('Owner Occupier'!$D$56-'Owner Occupier'!$D$52)*B30</f>
        <v>341.69509658257141</v>
      </c>
      <c r="G30" s="4">
        <f t="shared" si="2"/>
        <v>8814.6858812147457</v>
      </c>
    </row>
    <row r="31" spans="1:7" x14ac:dyDescent="0.25">
      <c r="A31">
        <v>28</v>
      </c>
      <c r="B31" s="4">
        <f>-PPMT('Owner Occupier'!$D$41/12,'FHA Amotization'!$A31,360,'Owner Occupier'!$D$40,0,0)</f>
        <v>740.09950068148919</v>
      </c>
      <c r="C31" s="4">
        <f>-IPMT('Owner Occupier'!$D$41/12,'FHA Amotization'!$A31,360,'Owner Occupier'!$D$40,0,0)</f>
        <v>1661.946321271032</v>
      </c>
      <c r="D31" s="4">
        <f t="shared" si="0"/>
        <v>2402.0458219525212</v>
      </c>
      <c r="E31" s="3">
        <f t="shared" si="1"/>
        <v>468515.33238760993</v>
      </c>
      <c r="F31" s="4">
        <f>('Owner Occupier'!$H$24-'Owner Occupier'!$D$52)/('Owner Occupier'!$D$56-'Owner Occupier'!$D$52)*B31</f>
        <v>342.90526671630141</v>
      </c>
      <c r="G31" s="4">
        <f t="shared" si="2"/>
        <v>9157.5911479310471</v>
      </c>
    </row>
    <row r="32" spans="1:7" x14ac:dyDescent="0.25">
      <c r="A32">
        <v>29</v>
      </c>
      <c r="B32" s="4">
        <f>-PPMT('Owner Occupier'!$D$41/12,'FHA Amotization'!$A32,360,'Owner Occupier'!$D$40,0,0)</f>
        <v>742.72068641306919</v>
      </c>
      <c r="C32" s="4">
        <f>-IPMT('Owner Occupier'!$D$41/12,'FHA Amotization'!$A32,360,'Owner Occupier'!$D$40,0,0)</f>
        <v>1659.325135539452</v>
      </c>
      <c r="D32" s="4">
        <f t="shared" si="0"/>
        <v>2402.0458219525212</v>
      </c>
      <c r="E32" s="3">
        <f t="shared" si="1"/>
        <v>467772.61170119687</v>
      </c>
      <c r="F32" s="4">
        <f>('Owner Occupier'!$H$24-'Owner Occupier'!$D$52)/('Owner Occupier'!$D$56-'Owner Occupier'!$D$52)*B32</f>
        <v>344.11972286925487</v>
      </c>
      <c r="G32" s="4">
        <f t="shared" si="2"/>
        <v>9501.7108708003016</v>
      </c>
    </row>
    <row r="33" spans="1:7" x14ac:dyDescent="0.25">
      <c r="A33">
        <v>30</v>
      </c>
      <c r="B33" s="4">
        <f>-PPMT('Owner Occupier'!$D$41/12,'FHA Amotization'!$A33,360,'Owner Occupier'!$D$40,0,0)</f>
        <v>745.35115551078229</v>
      </c>
      <c r="C33" s="4">
        <f>-IPMT('Owner Occupier'!$D$41/12,'FHA Amotization'!$A33,360,'Owner Occupier'!$D$40,0,0)</f>
        <v>1656.6946664417389</v>
      </c>
      <c r="D33" s="4">
        <f t="shared" si="0"/>
        <v>2402.0458219525212</v>
      </c>
      <c r="E33" s="3">
        <f t="shared" si="1"/>
        <v>467027.26054568612</v>
      </c>
      <c r="F33" s="4">
        <f>('Owner Occupier'!$H$24-'Owner Occupier'!$D$52)/('Owner Occupier'!$D$56-'Owner Occupier'!$D$52)*B33</f>
        <v>345.33848022108356</v>
      </c>
      <c r="G33" s="4">
        <f t="shared" si="2"/>
        <v>9847.0493510213855</v>
      </c>
    </row>
    <row r="34" spans="1:7" x14ac:dyDescent="0.25">
      <c r="A34">
        <v>31</v>
      </c>
      <c r="B34" s="4">
        <f>-PPMT('Owner Occupier'!$D$41/12,'FHA Amotization'!$A34,360,'Owner Occupier'!$D$40,0,0)</f>
        <v>747.99094085321622</v>
      </c>
      <c r="C34" s="4">
        <f>-IPMT('Owner Occupier'!$D$41/12,'FHA Amotization'!$A34,360,'Owner Occupier'!$D$40,0,0)</f>
        <v>1654.054881099305</v>
      </c>
      <c r="D34" s="4">
        <f t="shared" si="0"/>
        <v>2402.0458219525212</v>
      </c>
      <c r="E34" s="3">
        <f t="shared" si="1"/>
        <v>466279.26960483292</v>
      </c>
      <c r="F34" s="4">
        <f>('Owner Occupier'!$H$24-'Owner Occupier'!$D$52)/('Owner Occupier'!$D$56-'Owner Occupier'!$D$52)*B34</f>
        <v>346.56155400519987</v>
      </c>
      <c r="G34" s="4">
        <f t="shared" si="2"/>
        <v>10193.610905026586</v>
      </c>
    </row>
    <row r="35" spans="1:7" x14ac:dyDescent="0.25">
      <c r="A35">
        <v>32</v>
      </c>
      <c r="B35" s="4">
        <f>-PPMT('Owner Occupier'!$D$41/12,'FHA Amotization'!$A35,360,'Owner Occupier'!$D$40,0,0)</f>
        <v>750.64007543540481</v>
      </c>
      <c r="C35" s="4">
        <f>-IPMT('Owner Occupier'!$D$41/12,'FHA Amotization'!$A35,360,'Owner Occupier'!$D$40,0,0)</f>
        <v>1651.4057465171165</v>
      </c>
      <c r="D35" s="4">
        <f t="shared" si="0"/>
        <v>2402.0458219525212</v>
      </c>
      <c r="E35" s="3">
        <f t="shared" si="1"/>
        <v>465528.62952939753</v>
      </c>
      <c r="F35" s="4">
        <f>('Owner Occupier'!$H$24-'Owner Occupier'!$D$52)/('Owner Occupier'!$D$56-'Owner Occupier'!$D$52)*B35</f>
        <v>347.78895950896833</v>
      </c>
      <c r="G35" s="4">
        <f t="shared" si="2"/>
        <v>10541.399864535555</v>
      </c>
    </row>
    <row r="36" spans="1:7" x14ac:dyDescent="0.25">
      <c r="A36">
        <v>33</v>
      </c>
      <c r="B36" s="4">
        <f>-PPMT('Owner Occupier'!$D$41/12,'FHA Amotization'!$A36,360,'Owner Occupier'!$D$40,0,0)</f>
        <v>753.29859236923846</v>
      </c>
      <c r="C36" s="4">
        <f>-IPMT('Owner Occupier'!$D$41/12,'FHA Amotization'!$A36,360,'Owner Occupier'!$D$40,0,0)</f>
        <v>1648.7472295832829</v>
      </c>
      <c r="D36" s="4">
        <f t="shared" si="0"/>
        <v>2402.0458219525212</v>
      </c>
      <c r="E36" s="3">
        <f t="shared" si="1"/>
        <v>464775.33093702828</v>
      </c>
      <c r="F36" s="4">
        <f>('Owner Occupier'!$H$24-'Owner Occupier'!$D$52)/('Owner Occupier'!$D$56-'Owner Occupier'!$D$52)*B36</f>
        <v>349.02071207389588</v>
      </c>
      <c r="G36" s="4">
        <f t="shared" si="2"/>
        <v>10890.420576609451</v>
      </c>
    </row>
    <row r="37" spans="1:7" x14ac:dyDescent="0.25">
      <c r="A37">
        <v>34</v>
      </c>
      <c r="B37" s="4">
        <f>-PPMT('Owner Occupier'!$D$41/12,'FHA Amotization'!$A37,360,'Owner Occupier'!$D$40,0,0)</f>
        <v>755.96652488387963</v>
      </c>
      <c r="C37" s="4">
        <f>-IPMT('Owner Occupier'!$D$41/12,'FHA Amotization'!$A37,360,'Owner Occupier'!$D$40,0,0)</f>
        <v>1646.0792970686418</v>
      </c>
      <c r="D37" s="4">
        <f t="shared" si="0"/>
        <v>2402.0458219525217</v>
      </c>
      <c r="E37" s="3">
        <f t="shared" si="1"/>
        <v>464019.36441214441</v>
      </c>
      <c r="F37" s="4">
        <f>('Owner Occupier'!$H$24-'Owner Occupier'!$D$52)/('Owner Occupier'!$D$56-'Owner Occupier'!$D$52)*B37</f>
        <v>350.25682709582429</v>
      </c>
      <c r="G37" s="4">
        <f t="shared" si="2"/>
        <v>11240.677403705275</v>
      </c>
    </row>
    <row r="38" spans="1:7" x14ac:dyDescent="0.25">
      <c r="A38">
        <v>35</v>
      </c>
      <c r="B38" s="4">
        <f>-PPMT('Owner Occupier'!$D$41/12,'FHA Amotization'!$A38,360,'Owner Occupier'!$D$40,0,0)</f>
        <v>758.64390632617665</v>
      </c>
      <c r="C38" s="4">
        <f>-IPMT('Owner Occupier'!$D$41/12,'FHA Amotization'!$A38,360,'Owner Occupier'!$D$40,0,0)</f>
        <v>1643.4019156263446</v>
      </c>
      <c r="D38" s="4">
        <f t="shared" si="0"/>
        <v>2402.0458219525212</v>
      </c>
      <c r="E38" s="3">
        <f t="shared" si="1"/>
        <v>463260.72050581826</v>
      </c>
      <c r="F38" s="4">
        <f>('Owner Occupier'!$H$24-'Owner Occupier'!$D$52)/('Owner Occupier'!$D$56-'Owner Occupier'!$D$52)*B38</f>
        <v>351.49732002512201</v>
      </c>
      <c r="G38" s="4">
        <f t="shared" si="2"/>
        <v>11592.174723730397</v>
      </c>
    </row>
    <row r="39" spans="1:7" x14ac:dyDescent="0.25">
      <c r="A39">
        <v>36</v>
      </c>
      <c r="B39" s="4">
        <f>-PPMT('Owner Occupier'!$D$41/12,'FHA Amotization'!$A39,360,'Owner Occupier'!$D$40,0,0)</f>
        <v>761.33077016108189</v>
      </c>
      <c r="C39" s="4">
        <f>-IPMT('Owner Occupier'!$D$41/12,'FHA Amotization'!$A39,360,'Owner Occupier'!$D$40,0,0)</f>
        <v>1640.7150517914397</v>
      </c>
      <c r="D39" s="4">
        <f t="shared" si="0"/>
        <v>2402.0458219525217</v>
      </c>
      <c r="E39" s="3">
        <f t="shared" si="1"/>
        <v>462499.3897356572</v>
      </c>
      <c r="F39" s="4">
        <f>('Owner Occupier'!$H$24-'Owner Occupier'!$D$52)/('Owner Occupier'!$D$56-'Owner Occupier'!$D$52)*B39</f>
        <v>352.74220636687767</v>
      </c>
      <c r="G39" s="4">
        <f t="shared" si="2"/>
        <v>11944.916930097275</v>
      </c>
    </row>
    <row r="40" spans="1:7" x14ac:dyDescent="0.25">
      <c r="A40">
        <v>37</v>
      </c>
      <c r="B40" s="4">
        <f>-PPMT('Owner Occupier'!$D$41/12,'FHA Amotization'!$A40,360,'Owner Occupier'!$D$40,0,0)</f>
        <v>764.02714997206897</v>
      </c>
      <c r="C40" s="4">
        <f>-IPMT('Owner Occupier'!$D$41/12,'FHA Amotization'!$A40,360,'Owner Occupier'!$D$40,0,0)</f>
        <v>1638.0186719804524</v>
      </c>
      <c r="D40" s="4">
        <f t="shared" si="0"/>
        <v>2402.0458219525212</v>
      </c>
      <c r="E40" s="3">
        <f t="shared" si="1"/>
        <v>461735.36258568516</v>
      </c>
      <c r="F40" s="4">
        <f>('Owner Occupier'!$H$24-'Owner Occupier'!$D$52)/('Owner Occupier'!$D$56-'Owner Occupier'!$D$52)*B40</f>
        <v>353.99150168109367</v>
      </c>
      <c r="G40" s="4">
        <f t="shared" si="2"/>
        <v>12298.908431778369</v>
      </c>
    </row>
    <row r="41" spans="1:7" x14ac:dyDescent="0.25">
      <c r="A41">
        <v>38</v>
      </c>
      <c r="B41" s="4">
        <f>-PPMT('Owner Occupier'!$D$41/12,'FHA Amotization'!$A41,360,'Owner Occupier'!$D$40,0,0)</f>
        <v>766.73307946155353</v>
      </c>
      <c r="C41" s="4">
        <f>-IPMT('Owner Occupier'!$D$41/12,'FHA Amotization'!$A41,360,'Owner Occupier'!$D$40,0,0)</f>
        <v>1635.312742490968</v>
      </c>
      <c r="D41" s="4">
        <f t="shared" si="0"/>
        <v>2402.0458219525217</v>
      </c>
      <c r="E41" s="3">
        <f t="shared" si="1"/>
        <v>460968.6295062236</v>
      </c>
      <c r="F41" s="4">
        <f>('Owner Occupier'!$H$24-'Owner Occupier'!$D$52)/('Owner Occupier'!$D$56-'Owner Occupier'!$D$52)*B41</f>
        <v>355.2452215828809</v>
      </c>
      <c r="G41" s="4">
        <f t="shared" si="2"/>
        <v>12654.153653361251</v>
      </c>
    </row>
    <row r="42" spans="1:7" x14ac:dyDescent="0.25">
      <c r="A42">
        <v>39</v>
      </c>
      <c r="B42" s="4">
        <f>-PPMT('Owner Occupier'!$D$41/12,'FHA Amotization'!$A42,360,'Owner Occupier'!$D$40,0,0)</f>
        <v>769.44859245131306</v>
      </c>
      <c r="C42" s="4">
        <f>-IPMT('Owner Occupier'!$D$41/12,'FHA Amotization'!$A42,360,'Owner Occupier'!$D$40,0,0)</f>
        <v>1632.5972295012084</v>
      </c>
      <c r="D42" s="4">
        <f t="shared" si="0"/>
        <v>2402.0458219525217</v>
      </c>
      <c r="E42" s="3">
        <f t="shared" si="1"/>
        <v>460199.18091377232</v>
      </c>
      <c r="F42" s="4">
        <f>('Owner Occupier'!$H$24-'Owner Occupier'!$D$52)/('Owner Occupier'!$D$56-'Owner Occupier'!$D$52)*B42</f>
        <v>356.50338174265357</v>
      </c>
      <c r="G42" s="4">
        <f t="shared" si="2"/>
        <v>13010.657035103904</v>
      </c>
    </row>
    <row r="43" spans="1:7" x14ac:dyDescent="0.25">
      <c r="A43">
        <v>40</v>
      </c>
      <c r="B43" s="4">
        <f>-PPMT('Owner Occupier'!$D$41/12,'FHA Amotization'!$A43,360,'Owner Occupier'!$D$40,0,0)</f>
        <v>772.17372288291153</v>
      </c>
      <c r="C43" s="4">
        <f>-IPMT('Owner Occupier'!$D$41/12,'FHA Amotization'!$A43,360,'Owner Occupier'!$D$40,0,0)</f>
        <v>1629.8720990696099</v>
      </c>
      <c r="D43" s="4">
        <f t="shared" si="0"/>
        <v>2402.0458219525217</v>
      </c>
      <c r="E43" s="3">
        <f t="shared" si="1"/>
        <v>459427.00719088939</v>
      </c>
      <c r="F43" s="4">
        <f>('Owner Occupier'!$H$24-'Owner Occupier'!$D$52)/('Owner Occupier'!$D$56-'Owner Occupier'!$D$52)*B43</f>
        <v>357.76599788632547</v>
      </c>
      <c r="G43" s="4">
        <f t="shared" si="2"/>
        <v>13368.423032990229</v>
      </c>
    </row>
    <row r="44" spans="1:7" x14ac:dyDescent="0.25">
      <c r="A44">
        <v>41</v>
      </c>
      <c r="B44" s="4">
        <f>-PPMT('Owner Occupier'!$D$41/12,'FHA Amotization'!$A44,360,'Owner Occupier'!$D$40,0,0)</f>
        <v>774.90850481812186</v>
      </c>
      <c r="C44" s="4">
        <f>-IPMT('Owner Occupier'!$D$41/12,'FHA Amotization'!$A44,360,'Owner Occupier'!$D$40,0,0)</f>
        <v>1627.1373171343996</v>
      </c>
      <c r="D44" s="4">
        <f t="shared" si="0"/>
        <v>2402.0458219525217</v>
      </c>
      <c r="E44" s="3">
        <f t="shared" si="1"/>
        <v>458652.09868607129</v>
      </c>
      <c r="F44" s="4">
        <f>('Owner Occupier'!$H$24-'Owner Occupier'!$D$52)/('Owner Occupier'!$D$56-'Owner Occupier'!$D$52)*B44</f>
        <v>359.03308579550622</v>
      </c>
      <c r="G44" s="4">
        <f t="shared" si="2"/>
        <v>13727.456118785736</v>
      </c>
    </row>
    <row r="45" spans="1:7" x14ac:dyDescent="0.25">
      <c r="A45">
        <v>42</v>
      </c>
      <c r="B45" s="4">
        <f>-PPMT('Owner Occupier'!$D$41/12,'FHA Amotization'!$A45,360,'Owner Occupier'!$D$40,0,0)</f>
        <v>777.65297243935277</v>
      </c>
      <c r="C45" s="4">
        <f>-IPMT('Owner Occupier'!$D$41/12,'FHA Amotization'!$A45,360,'Owner Occupier'!$D$40,0,0)</f>
        <v>1624.3928495131688</v>
      </c>
      <c r="D45" s="4">
        <f t="shared" si="0"/>
        <v>2402.0458219525217</v>
      </c>
      <c r="E45" s="3">
        <f t="shared" si="1"/>
        <v>457874.44571363193</v>
      </c>
      <c r="F45" s="4">
        <f>('Owner Occupier'!$H$24-'Owner Occupier'!$D$52)/('Owner Occupier'!$D$56-'Owner Occupier'!$D$52)*B45</f>
        <v>360.30466130769867</v>
      </c>
      <c r="G45" s="4">
        <f t="shared" si="2"/>
        <v>14087.760780093435</v>
      </c>
    </row>
    <row r="46" spans="1:7" x14ac:dyDescent="0.25">
      <c r="A46">
        <v>43</v>
      </c>
      <c r="B46" s="4">
        <f>-PPMT('Owner Occupier'!$D$41/12,'FHA Amotization'!$A46,360,'Owner Occupier'!$D$40,0,0)</f>
        <v>780.40716005007528</v>
      </c>
      <c r="C46" s="4">
        <f>-IPMT('Owner Occupier'!$D$41/12,'FHA Amotization'!$A46,360,'Owner Occupier'!$D$40,0,0)</f>
        <v>1621.6386619024458</v>
      </c>
      <c r="D46" s="4">
        <f t="shared" si="0"/>
        <v>2402.0458219525212</v>
      </c>
      <c r="E46" s="3">
        <f t="shared" si="1"/>
        <v>457094.03855358186</v>
      </c>
      <c r="F46" s="4">
        <f>('Owner Occupier'!$H$24-'Owner Occupier'!$D$52)/('Owner Occupier'!$D$56-'Owner Occupier'!$D$52)*B46</f>
        <v>361.5807403164967</v>
      </c>
      <c r="G46" s="4">
        <f t="shared" si="2"/>
        <v>14449.341520409931</v>
      </c>
    </row>
    <row r="47" spans="1:7" x14ac:dyDescent="0.25">
      <c r="A47">
        <v>44</v>
      </c>
      <c r="B47" s="4">
        <f>-PPMT('Owner Occupier'!$D$41/12,'FHA Amotization'!$A47,360,'Owner Occupier'!$D$40,0,0)</f>
        <v>783.17110207525275</v>
      </c>
      <c r="C47" s="4">
        <f>-IPMT('Owner Occupier'!$D$41/12,'FHA Amotization'!$A47,360,'Owner Occupier'!$D$40,0,0)</f>
        <v>1618.8747198772685</v>
      </c>
      <c r="D47" s="4">
        <f t="shared" si="0"/>
        <v>2402.0458219525212</v>
      </c>
      <c r="E47" s="3">
        <f t="shared" si="1"/>
        <v>456310.86745150661</v>
      </c>
      <c r="F47" s="4">
        <f>('Owner Occupier'!$H$24-'Owner Occupier'!$D$52)/('Owner Occupier'!$D$56-'Owner Occupier'!$D$52)*B47</f>
        <v>362.86133877178435</v>
      </c>
      <c r="G47" s="4">
        <f t="shared" si="2"/>
        <v>14812.202859181716</v>
      </c>
    </row>
    <row r="48" spans="1:7" x14ac:dyDescent="0.25">
      <c r="A48">
        <v>45</v>
      </c>
      <c r="B48" s="4">
        <f>-PPMT('Owner Occupier'!$D$41/12,'FHA Amotization'!$A48,360,'Owner Occupier'!$D$40,0,0)</f>
        <v>785.94483306176926</v>
      </c>
      <c r="C48" s="4">
        <f>-IPMT('Owner Occupier'!$D$41/12,'FHA Amotization'!$A48,360,'Owner Occupier'!$D$40,0,0)</f>
        <v>1616.1009888907522</v>
      </c>
      <c r="D48" s="4">
        <f t="shared" si="0"/>
        <v>2402.0458219525217</v>
      </c>
      <c r="E48" s="3">
        <f t="shared" si="1"/>
        <v>455524.92261844483</v>
      </c>
      <c r="F48" s="4">
        <f>('Owner Occupier'!$H$24-'Owner Occupier'!$D$52)/('Owner Occupier'!$D$56-'Owner Occupier'!$D$52)*B48</f>
        <v>364.14647267993439</v>
      </c>
      <c r="G48" s="4">
        <f t="shared" si="2"/>
        <v>15176.349331861651</v>
      </c>
    </row>
    <row r="49" spans="1:7" x14ac:dyDescent="0.25">
      <c r="A49">
        <v>46</v>
      </c>
      <c r="B49" s="4">
        <f>-PPMT('Owner Occupier'!$D$41/12,'FHA Amotization'!$A49,360,'Owner Occupier'!$D$40,0,0)</f>
        <v>788.7283876788631</v>
      </c>
      <c r="C49" s="4">
        <f>-IPMT('Owner Occupier'!$D$41/12,'FHA Amotization'!$A49,360,'Owner Occupier'!$D$40,0,0)</f>
        <v>1613.3174342736586</v>
      </c>
      <c r="D49" s="4">
        <f t="shared" si="0"/>
        <v>2402.0458219525217</v>
      </c>
      <c r="E49" s="3">
        <f t="shared" si="1"/>
        <v>454736.19423076598</v>
      </c>
      <c r="F49" s="4">
        <f>('Owner Occupier'!$H$24-'Owner Occupier'!$D$52)/('Owner Occupier'!$D$56-'Owner Occupier'!$D$52)*B49</f>
        <v>365.43615810400922</v>
      </c>
      <c r="G49" s="4">
        <f t="shared" si="2"/>
        <v>15541.78548996566</v>
      </c>
    </row>
    <row r="50" spans="1:7" x14ac:dyDescent="0.25">
      <c r="A50">
        <v>47</v>
      </c>
      <c r="B50" s="4">
        <f>-PPMT('Owner Occupier'!$D$41/12,'FHA Amotization'!$A50,360,'Owner Occupier'!$D$40,0,0)</f>
        <v>791.52180071855901</v>
      </c>
      <c r="C50" s="4">
        <f>-IPMT('Owner Occupier'!$D$41/12,'FHA Amotization'!$A50,360,'Owner Occupier'!$D$40,0,0)</f>
        <v>1610.5240212339622</v>
      </c>
      <c r="D50" s="4">
        <f t="shared" si="0"/>
        <v>2402.0458219525212</v>
      </c>
      <c r="E50" s="3">
        <f t="shared" si="1"/>
        <v>453944.67243004742</v>
      </c>
      <c r="F50" s="4">
        <f>('Owner Occupier'!$H$24-'Owner Occupier'!$D$52)/('Owner Occupier'!$D$56-'Owner Occupier'!$D$52)*B50</f>
        <v>366.73041116396087</v>
      </c>
      <c r="G50" s="4">
        <f t="shared" si="2"/>
        <v>15908.51590112962</v>
      </c>
    </row>
    <row r="51" spans="1:7" x14ac:dyDescent="0.25">
      <c r="A51">
        <v>48</v>
      </c>
      <c r="B51" s="4">
        <f>-PPMT('Owner Occupier'!$D$41/12,'FHA Amotization'!$A51,360,'Owner Occupier'!$D$40,0,0)</f>
        <v>794.32510709610381</v>
      </c>
      <c r="C51" s="4">
        <f>-IPMT('Owner Occupier'!$D$41/12,'FHA Amotization'!$A51,360,'Owner Occupier'!$D$40,0,0)</f>
        <v>1607.7207148564175</v>
      </c>
      <c r="D51" s="4">
        <f t="shared" si="0"/>
        <v>2402.0458219525212</v>
      </c>
      <c r="E51" s="3">
        <f t="shared" si="1"/>
        <v>453150.3473229513</v>
      </c>
      <c r="F51" s="4">
        <f>('Owner Occupier'!$H$24-'Owner Occupier'!$D$52)/('Owner Occupier'!$D$56-'Owner Occupier'!$D$52)*B51</f>
        <v>368.02924803683317</v>
      </c>
      <c r="G51" s="4">
        <f t="shared" si="2"/>
        <v>16276.545149166453</v>
      </c>
    </row>
    <row r="52" spans="1:7" x14ac:dyDescent="0.25">
      <c r="A52">
        <v>49</v>
      </c>
      <c r="B52" s="4">
        <f>-PPMT('Owner Occupier'!$D$41/12,'FHA Amotization'!$A52,360,'Owner Occupier'!$D$40,0,0)</f>
        <v>797.13834185040253</v>
      </c>
      <c r="C52" s="4">
        <f>-IPMT('Owner Occupier'!$D$41/12,'FHA Amotization'!$A52,360,'Owner Occupier'!$D$40,0,0)</f>
        <v>1604.9074801021188</v>
      </c>
      <c r="D52" s="4">
        <f t="shared" si="0"/>
        <v>2402.0458219525212</v>
      </c>
      <c r="E52" s="3">
        <f t="shared" si="1"/>
        <v>452353.20898110088</v>
      </c>
      <c r="F52" s="4">
        <f>('Owner Occupier'!$H$24-'Owner Occupier'!$D$52)/('Owner Occupier'!$D$56-'Owner Occupier'!$D$52)*B52</f>
        <v>369.33268495696365</v>
      </c>
      <c r="G52" s="4">
        <f t="shared" si="2"/>
        <v>16645.877834123417</v>
      </c>
    </row>
    <row r="53" spans="1:7" x14ac:dyDescent="0.25">
      <c r="A53">
        <v>50</v>
      </c>
      <c r="B53" s="4">
        <f>-PPMT('Owner Occupier'!$D$41/12,'FHA Amotization'!$A53,360,'Owner Occupier'!$D$40,0,0)</f>
        <v>799.96154014445619</v>
      </c>
      <c r="C53" s="4">
        <f>-IPMT('Owner Occupier'!$D$41/12,'FHA Amotization'!$A53,360,'Owner Occupier'!$D$40,0,0)</f>
        <v>1602.0842818080653</v>
      </c>
      <c r="D53" s="4">
        <f t="shared" si="0"/>
        <v>2402.0458219525217</v>
      </c>
      <c r="E53" s="3">
        <f t="shared" si="1"/>
        <v>451553.24744095642</v>
      </c>
      <c r="F53" s="4">
        <f>('Owner Occupier'!$H$24-'Owner Occupier'!$D$52)/('Owner Occupier'!$D$56-'Owner Occupier'!$D$52)*B53</f>
        <v>370.64073821618632</v>
      </c>
      <c r="G53" s="4">
        <f t="shared" si="2"/>
        <v>17016.518572339603</v>
      </c>
    </row>
    <row r="54" spans="1:7" x14ac:dyDescent="0.25">
      <c r="A54">
        <v>51</v>
      </c>
      <c r="B54" s="4">
        <f>-PPMT('Owner Occupier'!$D$41/12,'FHA Amotization'!$A54,360,'Owner Occupier'!$D$40,0,0)</f>
        <v>802.7947372658009</v>
      </c>
      <c r="C54" s="4">
        <f>-IPMT('Owner Occupier'!$D$41/12,'FHA Amotization'!$A54,360,'Owner Occupier'!$D$40,0,0)</f>
        <v>1599.2510846867206</v>
      </c>
      <c r="D54" s="4">
        <f t="shared" si="0"/>
        <v>2402.0458219525217</v>
      </c>
      <c r="E54" s="3">
        <f t="shared" si="1"/>
        <v>450750.45270369062</v>
      </c>
      <c r="F54" s="4">
        <f>('Owner Occupier'!$H$24-'Owner Occupier'!$D$52)/('Owner Occupier'!$D$56-'Owner Occupier'!$D$52)*B54</f>
        <v>371.9534241640352</v>
      </c>
      <c r="G54" s="4">
        <f t="shared" si="2"/>
        <v>17388.471996503638</v>
      </c>
    </row>
    <row r="55" spans="1:7" x14ac:dyDescent="0.25">
      <c r="A55">
        <v>52</v>
      </c>
      <c r="B55" s="4">
        <f>-PPMT('Owner Occupier'!$D$41/12,'FHA Amotization'!$A55,360,'Owner Occupier'!$D$40,0,0)</f>
        <v>805.63796862695085</v>
      </c>
      <c r="C55" s="4">
        <f>-IPMT('Owner Occupier'!$D$41/12,'FHA Amotization'!$A55,360,'Owner Occupier'!$D$40,0,0)</f>
        <v>1596.4078533255706</v>
      </c>
      <c r="D55" s="4">
        <f t="shared" si="0"/>
        <v>2402.0458219525217</v>
      </c>
      <c r="E55" s="3">
        <f t="shared" si="1"/>
        <v>449944.81473506364</v>
      </c>
      <c r="F55" s="4">
        <f>('Owner Occupier'!$H$24-'Owner Occupier'!$D$52)/('Owner Occupier'!$D$56-'Owner Occupier'!$D$52)*B55</f>
        <v>373.2707592079496</v>
      </c>
      <c r="G55" s="4">
        <f t="shared" si="2"/>
        <v>17761.742755711588</v>
      </c>
    </row>
    <row r="56" spans="1:7" x14ac:dyDescent="0.25">
      <c r="A56">
        <v>53</v>
      </c>
      <c r="B56" s="4">
        <f>-PPMT('Owner Occupier'!$D$41/12,'FHA Amotization'!$A56,360,'Owner Occupier'!$D$40,0,0)</f>
        <v>808.49126976583784</v>
      </c>
      <c r="C56" s="4">
        <f>-IPMT('Owner Occupier'!$D$41/12,'FHA Amotization'!$A56,360,'Owner Occupier'!$D$40,0,0)</f>
        <v>1593.5545521866836</v>
      </c>
      <c r="D56" s="4">
        <f t="shared" si="0"/>
        <v>2402.0458219525217</v>
      </c>
      <c r="E56" s="3">
        <f t="shared" si="1"/>
        <v>449136.32346529781</v>
      </c>
      <c r="F56" s="4">
        <f>('Owner Occupier'!$H$24-'Owner Occupier'!$D$52)/('Owner Occupier'!$D$56-'Owner Occupier'!$D$52)*B56</f>
        <v>374.5927598134777</v>
      </c>
      <c r="G56" s="4">
        <f t="shared" si="2"/>
        <v>18136.335515525065</v>
      </c>
    </row>
    <row r="57" spans="1:7" x14ac:dyDescent="0.25">
      <c r="A57">
        <v>54</v>
      </c>
      <c r="B57" s="4">
        <f>-PPMT('Owner Occupier'!$D$41/12,'FHA Amotization'!$A57,360,'Owner Occupier'!$D$40,0,0)</f>
        <v>811.35467634625854</v>
      </c>
      <c r="C57" s="4">
        <f>-IPMT('Owner Occupier'!$D$41/12,'FHA Amotization'!$A57,360,'Owner Occupier'!$D$40,0,0)</f>
        <v>1590.6911456062628</v>
      </c>
      <c r="D57" s="4">
        <f t="shared" si="0"/>
        <v>2402.0458219525212</v>
      </c>
      <c r="E57" s="3">
        <f t="shared" si="1"/>
        <v>448324.96878895158</v>
      </c>
      <c r="F57" s="4">
        <f>('Owner Occupier'!$H$24-'Owner Occupier'!$D$52)/('Owner Occupier'!$D$56-'Owner Occupier'!$D$52)*B57</f>
        <v>375.91944250448375</v>
      </c>
      <c r="G57" s="4">
        <f t="shared" si="2"/>
        <v>18512.254958029549</v>
      </c>
    </row>
    <row r="58" spans="1:7" x14ac:dyDescent="0.25">
      <c r="A58">
        <v>55</v>
      </c>
      <c r="B58" s="4">
        <f>-PPMT('Owner Occupier'!$D$41/12,'FHA Amotization'!$A58,360,'Owner Occupier'!$D$40,0,0)</f>
        <v>814.2282241583182</v>
      </c>
      <c r="C58" s="4">
        <f>-IPMT('Owner Occupier'!$D$41/12,'FHA Amotization'!$A58,360,'Owner Occupier'!$D$40,0,0)</f>
        <v>1587.8175977942033</v>
      </c>
      <c r="D58" s="4">
        <f t="shared" si="0"/>
        <v>2402.0458219525217</v>
      </c>
      <c r="E58" s="3">
        <f t="shared" si="1"/>
        <v>447510.74056479323</v>
      </c>
      <c r="F58" s="4">
        <f>('Owner Occupier'!$H$24-'Owner Occupier'!$D$52)/('Owner Occupier'!$D$56-'Owner Occupier'!$D$52)*B58</f>
        <v>377.25082386335379</v>
      </c>
      <c r="G58" s="4">
        <f t="shared" si="2"/>
        <v>18889.505781892902</v>
      </c>
    </row>
    <row r="59" spans="1:7" x14ac:dyDescent="0.25">
      <c r="A59">
        <v>56</v>
      </c>
      <c r="B59" s="4">
        <f>-PPMT('Owner Occupier'!$D$41/12,'FHA Amotization'!$A59,360,'Owner Occupier'!$D$40,0,0)</f>
        <v>817.1119491188789</v>
      </c>
      <c r="C59" s="4">
        <f>-IPMT('Owner Occupier'!$D$41/12,'FHA Amotization'!$A59,360,'Owner Occupier'!$D$40,0,0)</f>
        <v>1584.9338728336425</v>
      </c>
      <c r="D59" s="4">
        <f t="shared" si="0"/>
        <v>2402.0458219525212</v>
      </c>
      <c r="E59" s="3">
        <f t="shared" si="1"/>
        <v>446693.62861567433</v>
      </c>
      <c r="F59" s="4">
        <f>('Owner Occupier'!$H$24-'Owner Occupier'!$D$52)/('Owner Occupier'!$D$56-'Owner Occupier'!$D$52)*B59</f>
        <v>378.58692053120319</v>
      </c>
      <c r="G59" s="4">
        <f t="shared" si="2"/>
        <v>19268.092702424106</v>
      </c>
    </row>
    <row r="60" spans="1:7" x14ac:dyDescent="0.25">
      <c r="A60">
        <v>57</v>
      </c>
      <c r="B60" s="4">
        <f>-PPMT('Owner Occupier'!$D$41/12,'FHA Amotization'!$A60,360,'Owner Occupier'!$D$40,0,0)</f>
        <v>820.00588727200818</v>
      </c>
      <c r="C60" s="4">
        <f>-IPMT('Owner Occupier'!$D$41/12,'FHA Amotization'!$A60,360,'Owner Occupier'!$D$40,0,0)</f>
        <v>1582.0399346805132</v>
      </c>
      <c r="D60" s="4">
        <f t="shared" si="0"/>
        <v>2402.0458219525212</v>
      </c>
      <c r="E60" s="3">
        <f t="shared" si="1"/>
        <v>445873.62272840232</v>
      </c>
      <c r="F60" s="4">
        <f>('Owner Occupier'!$H$24-'Owner Occupier'!$D$52)/('Owner Occupier'!$D$56-'Owner Occupier'!$D$52)*B60</f>
        <v>379.92774920808449</v>
      </c>
      <c r="G60" s="4">
        <f t="shared" si="2"/>
        <v>19648.02045163219</v>
      </c>
    </row>
    <row r="61" spans="1:7" x14ac:dyDescent="0.25">
      <c r="A61">
        <v>58</v>
      </c>
      <c r="B61" s="4">
        <f>-PPMT('Owner Occupier'!$D$41/12,'FHA Amotization'!$A61,360,'Owner Occupier'!$D$40,0,0)</f>
        <v>822.91007478943004</v>
      </c>
      <c r="C61" s="4">
        <f>-IPMT('Owner Occupier'!$D$41/12,'FHA Amotization'!$A61,360,'Owner Occupier'!$D$40,0,0)</f>
        <v>1579.1357471630913</v>
      </c>
      <c r="D61" s="4">
        <f t="shared" si="0"/>
        <v>2402.0458219525212</v>
      </c>
      <c r="E61" s="3">
        <f t="shared" si="1"/>
        <v>445050.71265361289</v>
      </c>
      <c r="F61" s="4">
        <f>('Owner Occupier'!$H$24-'Owner Occupier'!$D$52)/('Owner Occupier'!$D$56-'Owner Occupier'!$D$52)*B61</f>
        <v>381.27332665319653</v>
      </c>
      <c r="G61" s="4">
        <f t="shared" si="2"/>
        <v>20029.293778285388</v>
      </c>
    </row>
    <row r="62" spans="1:7" x14ac:dyDescent="0.25">
      <c r="A62">
        <v>59</v>
      </c>
      <c r="B62" s="4">
        <f>-PPMT('Owner Occupier'!$D$41/12,'FHA Amotization'!$A62,360,'Owner Occupier'!$D$40,0,0)</f>
        <v>825.8245479709758</v>
      </c>
      <c r="C62" s="4">
        <f>-IPMT('Owner Occupier'!$D$41/12,'FHA Amotization'!$A62,360,'Owner Occupier'!$D$40,0,0)</f>
        <v>1576.2212739815454</v>
      </c>
      <c r="D62" s="4">
        <f t="shared" si="0"/>
        <v>2402.0458219525212</v>
      </c>
      <c r="E62" s="3">
        <f t="shared" si="1"/>
        <v>444224.88810564193</v>
      </c>
      <c r="F62" s="4">
        <f>('Owner Occupier'!$H$24-'Owner Occupier'!$D$52)/('Owner Occupier'!$D$56-'Owner Occupier'!$D$52)*B62</f>
        <v>382.6236696850932</v>
      </c>
      <c r="G62" s="4">
        <f t="shared" si="2"/>
        <v>20411.917447970482</v>
      </c>
    </row>
    <row r="63" spans="1:7" x14ac:dyDescent="0.25">
      <c r="A63">
        <v>60</v>
      </c>
      <c r="B63" s="4">
        <f>-PPMT('Owner Occupier'!$D$41/12,'FHA Amotization'!$A63,360,'Owner Occupier'!$D$40,0,0)</f>
        <v>828.74934324503977</v>
      </c>
      <c r="C63" s="4">
        <f>-IPMT('Owner Occupier'!$D$41/12,'FHA Amotization'!$A63,360,'Owner Occupier'!$D$40,0,0)</f>
        <v>1573.2964787074818</v>
      </c>
      <c r="D63" s="4">
        <f t="shared" si="0"/>
        <v>2402.0458219525217</v>
      </c>
      <c r="E63" s="3">
        <f t="shared" si="1"/>
        <v>443396.13876239688</v>
      </c>
      <c r="F63" s="4">
        <f>('Owner Occupier'!$H$24-'Owner Occupier'!$D$52)/('Owner Occupier'!$D$56-'Owner Occupier'!$D$52)*B63</f>
        <v>383.97879518189461</v>
      </c>
      <c r="G63" s="4">
        <f t="shared" si="2"/>
        <v>20795.896243152376</v>
      </c>
    </row>
    <row r="64" spans="1:7" x14ac:dyDescent="0.25">
      <c r="A64">
        <v>61</v>
      </c>
      <c r="B64" s="4">
        <f>-PPMT('Owner Occupier'!$D$41/12,'FHA Amotization'!$A64,360,'Owner Occupier'!$D$40,0,0)</f>
        <v>831.68449716903251</v>
      </c>
      <c r="C64" s="4">
        <f>-IPMT('Owner Occupier'!$D$41/12,'FHA Amotization'!$A64,360,'Owner Occupier'!$D$40,0,0)</f>
        <v>1570.361324783489</v>
      </c>
      <c r="D64" s="4">
        <f t="shared" si="0"/>
        <v>2402.0458219525217</v>
      </c>
      <c r="E64" s="3">
        <f t="shared" si="1"/>
        <v>442564.45426522783</v>
      </c>
      <c r="F64" s="4">
        <f>('Owner Occupier'!$H$24-'Owner Occupier'!$D$52)/('Owner Occupier'!$D$56-'Owner Occupier'!$D$52)*B64</f>
        <v>385.33872008149712</v>
      </c>
      <c r="G64" s="4">
        <f t="shared" si="2"/>
        <v>21181.234963233874</v>
      </c>
    </row>
    <row r="65" spans="1:7" x14ac:dyDescent="0.25">
      <c r="A65">
        <v>62</v>
      </c>
      <c r="B65" s="4">
        <f>-PPMT('Owner Occupier'!$D$41/12,'FHA Amotization'!$A65,360,'Owner Occupier'!$D$40,0,0)</f>
        <v>834.63004642983969</v>
      </c>
      <c r="C65" s="4">
        <f>-IPMT('Owner Occupier'!$D$41/12,'FHA Amotization'!$A65,360,'Owner Occupier'!$D$40,0,0)</f>
        <v>1567.4157755226818</v>
      </c>
      <c r="D65" s="4">
        <f t="shared" si="0"/>
        <v>2402.0458219525217</v>
      </c>
      <c r="E65" s="3">
        <f t="shared" si="1"/>
        <v>441729.82421879802</v>
      </c>
      <c r="F65" s="4">
        <f>('Owner Occupier'!$H$24-'Owner Occupier'!$D$52)/('Owner Occupier'!$D$56-'Owner Occupier'!$D$52)*B65</f>
        <v>386.70346138178581</v>
      </c>
      <c r="G65" s="4">
        <f t="shared" si="2"/>
        <v>21567.938424615659</v>
      </c>
    </row>
    <row r="66" spans="1:7" x14ac:dyDescent="0.25">
      <c r="A66">
        <v>63</v>
      </c>
      <c r="B66" s="4">
        <f>-PPMT('Owner Occupier'!$D$41/12,'FHA Amotization'!$A66,360,'Owner Occupier'!$D$40,0,0)</f>
        <v>837.58602784427853</v>
      </c>
      <c r="C66" s="4">
        <f>-IPMT('Owner Occupier'!$D$41/12,'FHA Amotization'!$A66,360,'Owner Occupier'!$D$40,0,0)</f>
        <v>1564.4597941082429</v>
      </c>
      <c r="D66" s="4">
        <f t="shared" si="0"/>
        <v>2402.0458219525217</v>
      </c>
      <c r="E66" s="3">
        <f t="shared" si="1"/>
        <v>440892.23819095374</v>
      </c>
      <c r="F66" s="4">
        <f>('Owner Occupier'!$H$24-'Owner Occupier'!$D$52)/('Owner Occupier'!$D$56-'Owner Occupier'!$D$52)*B66</f>
        <v>388.07303614084623</v>
      </c>
      <c r="G66" s="4">
        <f t="shared" si="2"/>
        <v>21956.011460756505</v>
      </c>
    </row>
    <row r="67" spans="1:7" x14ac:dyDescent="0.25">
      <c r="A67">
        <v>64</v>
      </c>
      <c r="B67" s="4">
        <f>-PPMT('Owner Occupier'!$D$41/12,'FHA Amotization'!$A67,360,'Owner Occupier'!$D$40,0,0)</f>
        <v>840.5524783595605</v>
      </c>
      <c r="C67" s="4">
        <f>-IPMT('Owner Occupier'!$D$41/12,'FHA Amotization'!$A67,360,'Owner Occupier'!$D$40,0,0)</f>
        <v>1561.4933435929609</v>
      </c>
      <c r="D67" s="4">
        <f t="shared" si="0"/>
        <v>2402.0458219525212</v>
      </c>
      <c r="E67" s="3">
        <f t="shared" si="1"/>
        <v>440051.68571259419</v>
      </c>
      <c r="F67" s="4">
        <f>('Owner Occupier'!$H$24-'Owner Occupier'!$D$52)/('Owner Occupier'!$D$56-'Owner Occupier'!$D$52)*B67</f>
        <v>389.44746147717848</v>
      </c>
      <c r="G67" s="4">
        <f t="shared" si="2"/>
        <v>22345.458922233684</v>
      </c>
    </row>
    <row r="68" spans="1:7" x14ac:dyDescent="0.25">
      <c r="A68">
        <v>65</v>
      </c>
      <c r="B68" s="4">
        <f>-PPMT('Owner Occupier'!$D$41/12,'FHA Amotization'!$A68,360,'Owner Occupier'!$D$40,0,0)</f>
        <v>843.52943505375049</v>
      </c>
      <c r="C68" s="4">
        <f>-IPMT('Owner Occupier'!$D$41/12,'FHA Amotization'!$A68,360,'Owner Occupier'!$D$40,0,0)</f>
        <v>1558.5163868987711</v>
      </c>
      <c r="D68" s="4">
        <f t="shared" si="0"/>
        <v>2402.0458219525217</v>
      </c>
      <c r="E68" s="3">
        <f t="shared" si="1"/>
        <v>439208.15627754043</v>
      </c>
      <c r="F68" s="4">
        <f>('Owner Occupier'!$H$24-'Owner Occupier'!$D$52)/('Owner Occupier'!$D$56-'Owner Occupier'!$D$52)*B68</f>
        <v>390.82675456991007</v>
      </c>
      <c r="G68" s="4">
        <f t="shared" si="2"/>
        <v>22736.285676803593</v>
      </c>
    </row>
    <row r="69" spans="1:7" x14ac:dyDescent="0.25">
      <c r="A69">
        <v>66</v>
      </c>
      <c r="B69" s="4">
        <f>-PPMT('Owner Occupier'!$D$41/12,'FHA Amotization'!$A69,360,'Owner Occupier'!$D$40,0,0)</f>
        <v>846.51693513623252</v>
      </c>
      <c r="C69" s="4">
        <f>-IPMT('Owner Occupier'!$D$41/12,'FHA Amotization'!$A69,360,'Owner Occupier'!$D$40,0,0)</f>
        <v>1555.5288868162888</v>
      </c>
      <c r="D69" s="4">
        <f t="shared" ref="D69:D132" si="3">B69+C69</f>
        <v>2402.0458219525212</v>
      </c>
      <c r="E69" s="3">
        <f t="shared" si="1"/>
        <v>438361.6393424042</v>
      </c>
      <c r="F69" s="4">
        <f>('Owner Occupier'!$H$24-'Owner Occupier'!$D$52)/('Owner Occupier'!$D$56-'Owner Occupier'!$D$52)*B69</f>
        <v>392.21093265901186</v>
      </c>
      <c r="G69" s="4">
        <f t="shared" si="2"/>
        <v>23128.496609462603</v>
      </c>
    </row>
    <row r="70" spans="1:7" x14ac:dyDescent="0.25">
      <c r="A70">
        <v>67</v>
      </c>
      <c r="B70" s="4">
        <f>-PPMT('Owner Occupier'!$D$41/12,'FHA Amotization'!$A70,360,'Owner Occupier'!$D$40,0,0)</f>
        <v>849.51501594817341</v>
      </c>
      <c r="C70" s="4">
        <f>-IPMT('Owner Occupier'!$D$41/12,'FHA Amotization'!$A70,360,'Owner Occupier'!$D$40,0,0)</f>
        <v>1552.5308060043478</v>
      </c>
      <c r="D70" s="4">
        <f t="shared" si="3"/>
        <v>2402.0458219525212</v>
      </c>
      <c r="E70" s="3">
        <f t="shared" ref="E70:E133" si="4">E69-B70</f>
        <v>437512.12432645605</v>
      </c>
      <c r="F70" s="4">
        <f>('Owner Occupier'!$H$24-'Owner Occupier'!$D$52)/('Owner Occupier'!$D$56-'Owner Occupier'!$D$52)*B70</f>
        <v>393.60001304551253</v>
      </c>
      <c r="G70" s="4">
        <f t="shared" ref="G70:G133" si="5">F70+G69</f>
        <v>23522.096622508117</v>
      </c>
    </row>
    <row r="71" spans="1:7" x14ac:dyDescent="0.25">
      <c r="A71">
        <v>68</v>
      </c>
      <c r="B71" s="4">
        <f>-PPMT('Owner Occupier'!$D$41/12,'FHA Amotization'!$A71,360,'Owner Occupier'!$D$40,0,0)</f>
        <v>852.52371496298986</v>
      </c>
      <c r="C71" s="4">
        <f>-IPMT('Owner Occupier'!$D$41/12,'FHA Amotization'!$A71,360,'Owner Occupier'!$D$40,0,0)</f>
        <v>1549.5221069895315</v>
      </c>
      <c r="D71" s="4">
        <f t="shared" si="3"/>
        <v>2402.0458219525212</v>
      </c>
      <c r="E71" s="3">
        <f t="shared" si="4"/>
        <v>436659.60061149305</v>
      </c>
      <c r="F71" s="4">
        <f>('Owner Occupier'!$H$24-'Owner Occupier'!$D$52)/('Owner Occupier'!$D$56-'Owner Occupier'!$D$52)*B71</f>
        <v>394.99401309171543</v>
      </c>
      <c r="G71" s="4">
        <f t="shared" si="5"/>
        <v>23917.090635599834</v>
      </c>
    </row>
    <row r="72" spans="1:7" x14ac:dyDescent="0.25">
      <c r="A72">
        <v>69</v>
      </c>
      <c r="B72" s="4">
        <f>-PPMT('Owner Occupier'!$D$41/12,'FHA Amotization'!$A72,360,'Owner Occupier'!$D$40,0,0)</f>
        <v>855.543069786817</v>
      </c>
      <c r="C72" s="4">
        <f>-IPMT('Owner Occupier'!$D$41/12,'FHA Amotization'!$A72,360,'Owner Occupier'!$D$40,0,0)</f>
        <v>1546.5027521657044</v>
      </c>
      <c r="D72" s="4">
        <f t="shared" si="3"/>
        <v>2402.0458219525212</v>
      </c>
      <c r="E72" s="3">
        <f t="shared" si="4"/>
        <v>435804.05754170625</v>
      </c>
      <c r="F72" s="4">
        <f>('Owner Occupier'!$H$24-'Owner Occupier'!$D$52)/('Owner Occupier'!$D$56-'Owner Occupier'!$D$52)*B72</f>
        <v>396.39295022141516</v>
      </c>
      <c r="G72" s="4">
        <f t="shared" si="5"/>
        <v>24313.48358582125</v>
      </c>
    </row>
    <row r="73" spans="1:7" x14ac:dyDescent="0.25">
      <c r="A73">
        <v>70</v>
      </c>
      <c r="B73" s="4">
        <f>-PPMT('Owner Occupier'!$D$41/12,'FHA Amotization'!$A73,360,'Owner Occupier'!$D$40,0,0)</f>
        <v>858.57311815897867</v>
      </c>
      <c r="C73" s="4">
        <f>-IPMT('Owner Occupier'!$D$41/12,'FHA Amotization'!$A73,360,'Owner Occupier'!$D$40,0,0)</f>
        <v>1543.4727037935425</v>
      </c>
      <c r="D73" s="4">
        <f t="shared" si="3"/>
        <v>2402.0458219525212</v>
      </c>
      <c r="E73" s="3">
        <f t="shared" si="4"/>
        <v>434945.48442354728</v>
      </c>
      <c r="F73" s="4">
        <f>('Owner Occupier'!$H$24-'Owner Occupier'!$D$52)/('Owner Occupier'!$D$56-'Owner Occupier'!$D$52)*B73</f>
        <v>397.79684192011604</v>
      </c>
      <c r="G73" s="4">
        <f t="shared" si="5"/>
        <v>24711.280427741367</v>
      </c>
    </row>
    <row r="74" spans="1:7" x14ac:dyDescent="0.25">
      <c r="A74">
        <v>71</v>
      </c>
      <c r="B74" s="4">
        <f>-PPMT('Owner Occupier'!$D$41/12,'FHA Amotization'!$A74,360,'Owner Occupier'!$D$40,0,0)</f>
        <v>861.61389795245827</v>
      </c>
      <c r="C74" s="4">
        <f>-IPMT('Owner Occupier'!$D$41/12,'FHA Amotization'!$A74,360,'Owner Occupier'!$D$40,0,0)</f>
        <v>1540.4319240000632</v>
      </c>
      <c r="D74" s="4">
        <f t="shared" si="3"/>
        <v>2402.0458219525217</v>
      </c>
      <c r="E74" s="3">
        <f t="shared" si="4"/>
        <v>434083.8705255948</v>
      </c>
      <c r="F74" s="4">
        <f>('Owner Occupier'!$H$24-'Owner Occupier'!$D$52)/('Owner Occupier'!$D$56-'Owner Occupier'!$D$52)*B74</f>
        <v>399.20570573524975</v>
      </c>
      <c r="G74" s="4">
        <f t="shared" si="5"/>
        <v>25110.486133476617</v>
      </c>
    </row>
    <row r="75" spans="1:7" x14ac:dyDescent="0.25">
      <c r="A75">
        <v>72</v>
      </c>
      <c r="B75" s="4">
        <f>-PPMT('Owner Occupier'!$D$41/12,'FHA Amotization'!$A75,360,'Owner Occupier'!$D$40,0,0)</f>
        <v>864.66544717437341</v>
      </c>
      <c r="C75" s="4">
        <f>-IPMT('Owner Occupier'!$D$41/12,'FHA Amotization'!$A75,360,'Owner Occupier'!$D$40,0,0)</f>
        <v>1537.3803747781478</v>
      </c>
      <c r="D75" s="4">
        <f t="shared" si="3"/>
        <v>2402.0458219525212</v>
      </c>
      <c r="E75" s="3">
        <f t="shared" si="4"/>
        <v>433219.2050784204</v>
      </c>
      <c r="F75" s="4">
        <f>('Owner Occupier'!$H$24-'Owner Occupier'!$D$52)/('Owner Occupier'!$D$56-'Owner Occupier'!$D$52)*B75</f>
        <v>400.61955927639548</v>
      </c>
      <c r="G75" s="4">
        <f t="shared" si="5"/>
        <v>25511.105692753012</v>
      </c>
    </row>
    <row r="76" spans="1:7" x14ac:dyDescent="0.25">
      <c r="A76">
        <v>73</v>
      </c>
      <c r="B76" s="4">
        <f>-PPMT('Owner Occupier'!$D$41/12,'FHA Amotization'!$A76,360,'Owner Occupier'!$D$40,0,0)</f>
        <v>867.7278039664493</v>
      </c>
      <c r="C76" s="4">
        <f>-IPMT('Owner Occupier'!$D$41/12,'FHA Amotization'!$A76,360,'Owner Occupier'!$D$40,0,0)</f>
        <v>1534.3180179860722</v>
      </c>
      <c r="D76" s="4">
        <f t="shared" si="3"/>
        <v>2402.0458219525217</v>
      </c>
      <c r="E76" s="3">
        <f t="shared" si="4"/>
        <v>432351.47727445397</v>
      </c>
      <c r="F76" s="4">
        <f>('Owner Occupier'!$H$24-'Owner Occupier'!$D$52)/('Owner Occupier'!$D$56-'Owner Occupier'!$D$52)*B76</f>
        <v>402.0384202154994</v>
      </c>
      <c r="G76" s="4">
        <f t="shared" si="5"/>
        <v>25913.144112968512</v>
      </c>
    </row>
    <row r="77" spans="1:7" x14ac:dyDescent="0.25">
      <c r="A77">
        <v>74</v>
      </c>
      <c r="B77" s="4">
        <f>-PPMT('Owner Occupier'!$D$41/12,'FHA Amotization'!$A77,360,'Owner Occupier'!$D$40,0,0)</f>
        <v>870.80100660549726</v>
      </c>
      <c r="C77" s="4">
        <f>-IPMT('Owner Occupier'!$D$41/12,'FHA Amotization'!$A77,360,'Owner Occupier'!$D$40,0,0)</f>
        <v>1531.2448153470241</v>
      </c>
      <c r="D77" s="4">
        <f t="shared" si="3"/>
        <v>2402.0458219525212</v>
      </c>
      <c r="E77" s="3">
        <f t="shared" si="4"/>
        <v>431480.67626784847</v>
      </c>
      <c r="F77" s="4">
        <f>('Owner Occupier'!$H$24-'Owner Occupier'!$D$52)/('Owner Occupier'!$D$56-'Owner Occupier'!$D$52)*B77</f>
        <v>403.462306287096</v>
      </c>
      <c r="G77" s="4">
        <f t="shared" si="5"/>
        <v>26316.606419255608</v>
      </c>
    </row>
    <row r="78" spans="1:7" x14ac:dyDescent="0.25">
      <c r="A78">
        <v>75</v>
      </c>
      <c r="B78" s="4">
        <f>-PPMT('Owner Occupier'!$D$41/12,'FHA Amotization'!$A78,360,'Owner Occupier'!$D$40,0,0)</f>
        <v>873.88509350389165</v>
      </c>
      <c r="C78" s="4">
        <f>-IPMT('Owner Occupier'!$D$41/12,'FHA Amotization'!$A78,360,'Owner Occupier'!$D$40,0,0)</f>
        <v>1528.1607284486299</v>
      </c>
      <c r="D78" s="4">
        <f t="shared" si="3"/>
        <v>2402.0458219525217</v>
      </c>
      <c r="E78" s="3">
        <f t="shared" si="4"/>
        <v>430606.7911743446</v>
      </c>
      <c r="F78" s="4">
        <f>('Owner Occupier'!$H$24-'Owner Occupier'!$D$52)/('Owner Occupier'!$D$56-'Owner Occupier'!$D$52)*B78</f>
        <v>404.8912352885294</v>
      </c>
      <c r="G78" s="4">
        <f t="shared" si="5"/>
        <v>26721.497654544139</v>
      </c>
    </row>
    <row r="79" spans="1:7" x14ac:dyDescent="0.25">
      <c r="A79">
        <v>76</v>
      </c>
      <c r="B79" s="4">
        <f>-PPMT('Owner Occupier'!$D$41/12,'FHA Amotization'!$A79,360,'Owner Occupier'!$D$40,0,0)</f>
        <v>876.98010321005131</v>
      </c>
      <c r="C79" s="4">
        <f>-IPMT('Owner Occupier'!$D$41/12,'FHA Amotization'!$A79,360,'Owner Occupier'!$D$40,0,0)</f>
        <v>1525.0657187424702</v>
      </c>
      <c r="D79" s="4">
        <f t="shared" si="3"/>
        <v>2402.0458219525217</v>
      </c>
      <c r="E79" s="3">
        <f t="shared" si="4"/>
        <v>429729.81107113452</v>
      </c>
      <c r="F79" s="4">
        <f>('Owner Occupier'!$H$24-'Owner Occupier'!$D$52)/('Owner Occupier'!$D$56-'Owner Occupier'!$D$52)*B79</f>
        <v>406.32522508017632</v>
      </c>
      <c r="G79" s="4">
        <f t="shared" si="5"/>
        <v>27127.822879624317</v>
      </c>
    </row>
    <row r="80" spans="1:7" x14ac:dyDescent="0.25">
      <c r="A80">
        <v>77</v>
      </c>
      <c r="B80" s="4">
        <f>-PPMT('Owner Occupier'!$D$41/12,'FHA Amotization'!$A80,360,'Owner Occupier'!$D$40,0,0)</f>
        <v>880.08607440892013</v>
      </c>
      <c r="C80" s="4">
        <f>-IPMT('Owner Occupier'!$D$41/12,'FHA Amotization'!$A80,360,'Owner Occupier'!$D$40,0,0)</f>
        <v>1521.9597475436012</v>
      </c>
      <c r="D80" s="4">
        <f t="shared" si="3"/>
        <v>2402.0458219525212</v>
      </c>
      <c r="E80" s="3">
        <f t="shared" si="4"/>
        <v>428849.72499672562</v>
      </c>
      <c r="F80" s="4">
        <f>('Owner Occupier'!$H$24-'Owner Occupier'!$D$52)/('Owner Occupier'!$D$56-'Owner Occupier'!$D$52)*B80</f>
        <v>407.76429358566855</v>
      </c>
      <c r="G80" s="4">
        <f t="shared" si="5"/>
        <v>27535.587173209984</v>
      </c>
    </row>
    <row r="81" spans="1:7" x14ac:dyDescent="0.25">
      <c r="A81">
        <v>78</v>
      </c>
      <c r="B81" s="4">
        <f>-PPMT('Owner Occupier'!$D$41/12,'FHA Amotization'!$A81,360,'Owner Occupier'!$D$40,0,0)</f>
        <v>883.20304592245179</v>
      </c>
      <c r="C81" s="4">
        <f>-IPMT('Owner Occupier'!$D$41/12,'FHA Amotization'!$A81,360,'Owner Occupier'!$D$40,0,0)</f>
        <v>1518.8427760300697</v>
      </c>
      <c r="D81" s="4">
        <f t="shared" si="3"/>
        <v>2402.0458219525217</v>
      </c>
      <c r="E81" s="3">
        <f t="shared" si="4"/>
        <v>427966.52195080317</v>
      </c>
      <c r="F81" s="4">
        <f>('Owner Occupier'!$H$24-'Owner Occupier'!$D$52)/('Owner Occupier'!$D$56-'Owner Occupier'!$D$52)*B81</f>
        <v>409.20845879211782</v>
      </c>
      <c r="G81" s="4">
        <f t="shared" si="5"/>
        <v>27944.7956320021</v>
      </c>
    </row>
    <row r="82" spans="1:7" x14ac:dyDescent="0.25">
      <c r="A82">
        <v>79</v>
      </c>
      <c r="B82" s="4">
        <f>-PPMT('Owner Occupier'!$D$41/12,'FHA Amotization'!$A82,360,'Owner Occupier'!$D$40,0,0)</f>
        <v>886.33105671009378</v>
      </c>
      <c r="C82" s="4">
        <f>-IPMT('Owner Occupier'!$D$41/12,'FHA Amotization'!$A82,360,'Owner Occupier'!$D$40,0,0)</f>
        <v>1515.7147652424276</v>
      </c>
      <c r="D82" s="4">
        <f t="shared" si="3"/>
        <v>2402.0458219525212</v>
      </c>
      <c r="E82" s="3">
        <f t="shared" si="4"/>
        <v>427080.19089409307</v>
      </c>
      <c r="F82" s="4">
        <f>('Owner Occupier'!$H$24-'Owner Occupier'!$D$52)/('Owner Occupier'!$D$56-'Owner Occupier'!$D$52)*B82</f>
        <v>410.65773875033989</v>
      </c>
      <c r="G82" s="4">
        <f t="shared" si="5"/>
        <v>28355.453370752439</v>
      </c>
    </row>
    <row r="83" spans="1:7" x14ac:dyDescent="0.25">
      <c r="A83">
        <v>80</v>
      </c>
      <c r="B83" s="4">
        <f>-PPMT('Owner Occupier'!$D$41/12,'FHA Amotization'!$A83,360,'Owner Occupier'!$D$40,0,0)</f>
        <v>889.47014586927537</v>
      </c>
      <c r="C83" s="4">
        <f>-IPMT('Owner Occupier'!$D$41/12,'FHA Amotization'!$A83,360,'Owner Occupier'!$D$40,0,0)</f>
        <v>1512.5756760832458</v>
      </c>
      <c r="D83" s="4">
        <f t="shared" si="3"/>
        <v>2402.0458219525212</v>
      </c>
      <c r="E83" s="3">
        <f t="shared" si="4"/>
        <v>426190.72074822377</v>
      </c>
      <c r="F83" s="4">
        <f>('Owner Occupier'!$H$24-'Owner Occupier'!$D$52)/('Owner Occupier'!$D$56-'Owner Occupier'!$D$52)*B83</f>
        <v>412.1121515750807</v>
      </c>
      <c r="G83" s="4">
        <f t="shared" si="5"/>
        <v>28767.565522327521</v>
      </c>
    </row>
    <row r="84" spans="1:7" x14ac:dyDescent="0.25">
      <c r="A84">
        <v>81</v>
      </c>
      <c r="B84" s="4">
        <f>-PPMT('Owner Occupier'!$D$41/12,'FHA Amotization'!$A84,360,'Owner Occupier'!$D$40,0,0)</f>
        <v>892.62035263589564</v>
      </c>
      <c r="C84" s="4">
        <f>-IPMT('Owner Occupier'!$D$41/12,'FHA Amotization'!$A84,360,'Owner Occupier'!$D$40,0,0)</f>
        <v>1509.4254693166254</v>
      </c>
      <c r="D84" s="4">
        <f t="shared" si="3"/>
        <v>2402.0458219525208</v>
      </c>
      <c r="E84" s="3">
        <f t="shared" si="4"/>
        <v>425298.10039558786</v>
      </c>
      <c r="F84" s="4">
        <f>('Owner Occupier'!$H$24-'Owner Occupier'!$D$52)/('Owner Occupier'!$D$56-'Owner Occupier'!$D$52)*B84</f>
        <v>413.57171544524243</v>
      </c>
      <c r="G84" s="4">
        <f t="shared" si="5"/>
        <v>29181.137237772764</v>
      </c>
    </row>
    <row r="85" spans="1:7" x14ac:dyDescent="0.25">
      <c r="A85">
        <v>82</v>
      </c>
      <c r="B85" s="4">
        <f>-PPMT('Owner Occupier'!$D$41/12,'FHA Amotization'!$A85,360,'Owner Occupier'!$D$40,0,0)</f>
        <v>895.78171638481456</v>
      </c>
      <c r="C85" s="4">
        <f>-IPMT('Owner Occupier'!$D$41/12,'FHA Amotization'!$A85,360,'Owner Occupier'!$D$40,0,0)</f>
        <v>1506.2641055677068</v>
      </c>
      <c r="D85" s="4">
        <f t="shared" si="3"/>
        <v>2402.0458219525212</v>
      </c>
      <c r="E85" s="3">
        <f t="shared" si="4"/>
        <v>424402.31867920305</v>
      </c>
      <c r="F85" s="4">
        <f>('Owner Occupier'!$H$24-'Owner Occupier'!$D$52)/('Owner Occupier'!$D$56-'Owner Occupier'!$D$52)*B85</f>
        <v>415.036448604111</v>
      </c>
      <c r="G85" s="4">
        <f t="shared" si="5"/>
        <v>29596.173686376875</v>
      </c>
    </row>
    <row r="86" spans="1:7" x14ac:dyDescent="0.25">
      <c r="A86">
        <v>83</v>
      </c>
      <c r="B86" s="4">
        <f>-PPMT('Owner Occupier'!$D$41/12,'FHA Amotization'!$A86,360,'Owner Occupier'!$D$40,0,0)</f>
        <v>898.954276630344</v>
      </c>
      <c r="C86" s="4">
        <f>-IPMT('Owner Occupier'!$D$41/12,'FHA Amotization'!$A86,360,'Owner Occupier'!$D$40,0,0)</f>
        <v>1503.0915453221774</v>
      </c>
      <c r="D86" s="4">
        <f t="shared" si="3"/>
        <v>2402.0458219525212</v>
      </c>
      <c r="E86" s="3">
        <f t="shared" si="4"/>
        <v>423503.36440257268</v>
      </c>
      <c r="F86" s="4">
        <f>('Owner Occupier'!$H$24-'Owner Occupier'!$D$52)/('Owner Occupier'!$D$56-'Owner Occupier'!$D$52)*B86</f>
        <v>416.50636935958386</v>
      </c>
      <c r="G86" s="4">
        <f t="shared" si="5"/>
        <v>30012.680055736459</v>
      </c>
    </row>
    <row r="87" spans="1:7" x14ac:dyDescent="0.25">
      <c r="A87">
        <v>84</v>
      </c>
      <c r="B87" s="4">
        <f>-PPMT('Owner Occupier'!$D$41/12,'FHA Amotization'!$A87,360,'Owner Occupier'!$D$40,0,0)</f>
        <v>902.1380730267432</v>
      </c>
      <c r="C87" s="4">
        <f>-IPMT('Owner Occupier'!$D$41/12,'FHA Amotization'!$A87,360,'Owner Occupier'!$D$40,0,0)</f>
        <v>1499.9077489257779</v>
      </c>
      <c r="D87" s="4">
        <f t="shared" si="3"/>
        <v>2402.0458219525212</v>
      </c>
      <c r="E87" s="3">
        <f t="shared" si="4"/>
        <v>422601.22632954596</v>
      </c>
      <c r="F87" s="4">
        <f>('Owner Occupier'!$H$24-'Owner Occupier'!$D$52)/('Owner Occupier'!$D$56-'Owner Occupier'!$D$52)*B87</f>
        <v>417.98149608439911</v>
      </c>
      <c r="G87" s="4">
        <f t="shared" si="5"/>
        <v>30430.661551820856</v>
      </c>
    </row>
    <row r="88" spans="1:7" x14ac:dyDescent="0.25">
      <c r="A88">
        <v>85</v>
      </c>
      <c r="B88" s="4">
        <f>-PPMT('Owner Occupier'!$D$41/12,'FHA Amotization'!$A88,360,'Owner Occupier'!$D$40,0,0)</f>
        <v>905.33314536871285</v>
      </c>
      <c r="C88" s="4">
        <f>-IPMT('Owner Occupier'!$D$41/12,'FHA Amotization'!$A88,360,'Owner Occupier'!$D$40,0,0)</f>
        <v>1496.7126765838084</v>
      </c>
      <c r="D88" s="4">
        <f t="shared" si="3"/>
        <v>2402.0458219525212</v>
      </c>
      <c r="E88" s="3">
        <f t="shared" si="4"/>
        <v>421695.89318417723</v>
      </c>
      <c r="F88" s="4">
        <f>('Owner Occupier'!$H$24-'Owner Occupier'!$D$52)/('Owner Occupier'!$D$56-'Owner Occupier'!$D$52)*B88</f>
        <v>419.46184721636462</v>
      </c>
      <c r="G88" s="4">
        <f t="shared" si="5"/>
        <v>30850.12339903722</v>
      </c>
    </row>
    <row r="89" spans="1:7" x14ac:dyDescent="0.25">
      <c r="A89">
        <v>86</v>
      </c>
      <c r="B89" s="4">
        <f>-PPMT('Owner Occupier'!$D$41/12,'FHA Amotization'!$A89,360,'Owner Occupier'!$D$40,0,0)</f>
        <v>908.53953359189381</v>
      </c>
      <c r="C89" s="4">
        <f>-IPMT('Owner Occupier'!$D$41/12,'FHA Amotization'!$A89,360,'Owner Occupier'!$D$40,0,0)</f>
        <v>1493.5062883606279</v>
      </c>
      <c r="D89" s="4">
        <f t="shared" si="3"/>
        <v>2402.0458219525217</v>
      </c>
      <c r="E89" s="3">
        <f t="shared" si="4"/>
        <v>420787.35365058534</v>
      </c>
      <c r="F89" s="4">
        <f>('Owner Occupier'!$H$24-'Owner Occupier'!$D$52)/('Owner Occupier'!$D$56-'Owner Occupier'!$D$52)*B89</f>
        <v>420.94744125858932</v>
      </c>
      <c r="G89" s="4">
        <f t="shared" si="5"/>
        <v>31271.070840295808</v>
      </c>
    </row>
    <row r="90" spans="1:7" x14ac:dyDescent="0.25">
      <c r="A90">
        <v>87</v>
      </c>
      <c r="B90" s="4">
        <f>-PPMT('Owner Occupier'!$D$41/12,'FHA Amotization'!$A90,360,'Owner Occupier'!$D$40,0,0)</f>
        <v>911.7572777733651</v>
      </c>
      <c r="C90" s="4">
        <f>-IPMT('Owner Occupier'!$D$41/12,'FHA Amotization'!$A90,360,'Owner Occupier'!$D$40,0,0)</f>
        <v>1490.2885441791564</v>
      </c>
      <c r="D90" s="4">
        <f t="shared" si="3"/>
        <v>2402.0458219525217</v>
      </c>
      <c r="E90" s="3">
        <f t="shared" si="4"/>
        <v>419875.596372812</v>
      </c>
      <c r="F90" s="4">
        <f>('Owner Occupier'!$H$24-'Owner Occupier'!$D$52)/('Owner Occupier'!$D$56-'Owner Occupier'!$D$52)*B90</f>
        <v>422.43829677971348</v>
      </c>
      <c r="G90" s="4">
        <f t="shared" si="5"/>
        <v>31693.509137075522</v>
      </c>
    </row>
    <row r="91" spans="1:7" x14ac:dyDescent="0.25">
      <c r="A91">
        <v>88</v>
      </c>
      <c r="B91" s="4">
        <f>-PPMT('Owner Occupier'!$D$41/12,'FHA Amotization'!$A91,360,'Owner Occupier'!$D$40,0,0)</f>
        <v>914.98641813214579</v>
      </c>
      <c r="C91" s="4">
        <f>-IPMT('Owner Occupier'!$D$41/12,'FHA Amotization'!$A91,360,'Owner Occupier'!$D$40,0,0)</f>
        <v>1487.0594038203758</v>
      </c>
      <c r="D91" s="4">
        <f t="shared" si="3"/>
        <v>2402.0458219525217</v>
      </c>
      <c r="E91" s="3">
        <f t="shared" si="4"/>
        <v>418960.60995467985</v>
      </c>
      <c r="F91" s="4">
        <f>('Owner Occupier'!$H$24-'Owner Occupier'!$D$52)/('Owner Occupier'!$D$56-'Owner Occupier'!$D$52)*B91</f>
        <v>423.93443241414167</v>
      </c>
      <c r="G91" s="4">
        <f t="shared" si="5"/>
        <v>32117.443569489664</v>
      </c>
    </row>
    <row r="92" spans="1:7" x14ac:dyDescent="0.25">
      <c r="A92">
        <v>89</v>
      </c>
      <c r="B92" s="4">
        <f>-PPMT('Owner Occupier'!$D$41/12,'FHA Amotization'!$A92,360,'Owner Occupier'!$D$40,0,0)</f>
        <v>918.22699502969715</v>
      </c>
      <c r="C92" s="4">
        <f>-IPMT('Owner Occupier'!$D$41/12,'FHA Amotization'!$A92,360,'Owner Occupier'!$D$40,0,0)</f>
        <v>1483.8188269228242</v>
      </c>
      <c r="D92" s="4">
        <f t="shared" si="3"/>
        <v>2402.0458219525212</v>
      </c>
      <c r="E92" s="3">
        <f t="shared" si="4"/>
        <v>418042.38295965013</v>
      </c>
      <c r="F92" s="4">
        <f>('Owner Occupier'!$H$24-'Owner Occupier'!$D$52)/('Owner Occupier'!$D$56-'Owner Occupier'!$D$52)*B92</f>
        <v>425.43586686227508</v>
      </c>
      <c r="G92" s="4">
        <f t="shared" si="5"/>
        <v>32542.879436351937</v>
      </c>
    </row>
    <row r="93" spans="1:7" x14ac:dyDescent="0.25">
      <c r="A93">
        <v>90</v>
      </c>
      <c r="B93" s="4">
        <f>-PPMT('Owner Occupier'!$D$41/12,'FHA Amotization'!$A93,360,'Owner Occupier'!$D$40,0,0)</f>
        <v>921.47904897042713</v>
      </c>
      <c r="C93" s="4">
        <f>-IPMT('Owner Occupier'!$D$41/12,'FHA Amotization'!$A93,360,'Owner Occupier'!$D$40,0,0)</f>
        <v>1480.5667729820941</v>
      </c>
      <c r="D93" s="4">
        <f t="shared" si="3"/>
        <v>2402.0458219525212</v>
      </c>
      <c r="E93" s="3">
        <f t="shared" si="4"/>
        <v>417120.90391067968</v>
      </c>
      <c r="F93" s="4">
        <f>('Owner Occupier'!$H$24-'Owner Occupier'!$D$52)/('Owner Occupier'!$D$56-'Owner Occupier'!$D$52)*B93</f>
        <v>426.94261889074556</v>
      </c>
      <c r="G93" s="4">
        <f t="shared" si="5"/>
        <v>32969.822055242686</v>
      </c>
    </row>
    <row r="94" spans="1:7" x14ac:dyDescent="0.25">
      <c r="A94">
        <v>91</v>
      </c>
      <c r="B94" s="4">
        <f>-PPMT('Owner Occupier'!$D$41/12,'FHA Amotization'!$A94,360,'Owner Occupier'!$D$40,0,0)</f>
        <v>924.74262060219746</v>
      </c>
      <c r="C94" s="4">
        <f>-IPMT('Owner Occupier'!$D$41/12,'FHA Amotization'!$A94,360,'Owner Occupier'!$D$40,0,0)</f>
        <v>1477.3032013503239</v>
      </c>
      <c r="D94" s="4">
        <f t="shared" si="3"/>
        <v>2402.0458219525212</v>
      </c>
      <c r="E94" s="3">
        <f t="shared" si="4"/>
        <v>416196.16129007749</v>
      </c>
      <c r="F94" s="4">
        <f>('Owner Occupier'!$H$24-'Owner Occupier'!$D$52)/('Owner Occupier'!$D$56-'Owner Occupier'!$D$52)*B94</f>
        <v>428.45470733265029</v>
      </c>
      <c r="G94" s="4">
        <f t="shared" si="5"/>
        <v>33398.276762575333</v>
      </c>
    </row>
    <row r="95" spans="1:7" x14ac:dyDescent="0.25">
      <c r="A95">
        <v>92</v>
      </c>
      <c r="B95" s="4">
        <f>-PPMT('Owner Occupier'!$D$41/12,'FHA Amotization'!$A95,360,'Owner Occupier'!$D$40,0,0)</f>
        <v>928.01775071683028</v>
      </c>
      <c r="C95" s="4">
        <f>-IPMT('Owner Occupier'!$D$41/12,'FHA Amotization'!$A95,360,'Owner Occupier'!$D$40,0,0)</f>
        <v>1474.0280712356912</v>
      </c>
      <c r="D95" s="4">
        <f t="shared" si="3"/>
        <v>2402.0458219525217</v>
      </c>
      <c r="E95" s="3">
        <f t="shared" si="4"/>
        <v>415268.14353936067</v>
      </c>
      <c r="F95" s="4">
        <f>('Owner Occupier'!$H$24-'Owner Occupier'!$D$52)/('Owner Occupier'!$D$56-'Owner Occupier'!$D$52)*B95</f>
        <v>429.97215108778676</v>
      </c>
      <c r="G95" s="4">
        <f t="shared" si="5"/>
        <v>33828.248913663119</v>
      </c>
    </row>
    <row r="96" spans="1:7" x14ac:dyDescent="0.25">
      <c r="A96">
        <v>93</v>
      </c>
      <c r="B96" s="4">
        <f>-PPMT('Owner Occupier'!$D$41/12,'FHA Amotization'!$A96,360,'Owner Occupier'!$D$40,0,0)</f>
        <v>931.30448025061912</v>
      </c>
      <c r="C96" s="4">
        <f>-IPMT('Owner Occupier'!$D$41/12,'FHA Amotization'!$A96,360,'Owner Occupier'!$D$40,0,0)</f>
        <v>1470.741341701902</v>
      </c>
      <c r="D96" s="4">
        <f t="shared" si="3"/>
        <v>2402.0458219525212</v>
      </c>
      <c r="E96" s="3">
        <f t="shared" si="4"/>
        <v>414336.83905911003</v>
      </c>
      <c r="F96" s="4">
        <f>('Owner Occupier'!$H$24-'Owner Occupier'!$D$52)/('Owner Occupier'!$D$56-'Owner Occupier'!$D$52)*B96</f>
        <v>431.49496912288942</v>
      </c>
      <c r="G96" s="4">
        <f t="shared" si="5"/>
        <v>34259.74388278601</v>
      </c>
    </row>
    <row r="97" spans="1:7" x14ac:dyDescent="0.25">
      <c r="A97">
        <v>94</v>
      </c>
      <c r="B97" s="4">
        <f>-PPMT('Owner Occupier'!$D$41/12,'FHA Amotization'!$A97,360,'Owner Occupier'!$D$40,0,0)</f>
        <v>934.60285028484009</v>
      </c>
      <c r="C97" s="4">
        <f>-IPMT('Owner Occupier'!$D$41/12,'FHA Amotization'!$A97,360,'Owner Occupier'!$D$40,0,0)</f>
        <v>1467.4429716676814</v>
      </c>
      <c r="D97" s="4">
        <f t="shared" si="3"/>
        <v>2402.0458219525217</v>
      </c>
      <c r="E97" s="3">
        <f t="shared" si="4"/>
        <v>413402.2362088252</v>
      </c>
      <c r="F97" s="4">
        <f>('Owner Occupier'!$H$24-'Owner Occupier'!$D$52)/('Owner Occupier'!$D$56-'Owner Occupier'!$D$52)*B97</f>
        <v>433.02318047186628</v>
      </c>
      <c r="G97" s="4">
        <f t="shared" si="5"/>
        <v>34692.767063257874</v>
      </c>
    </row>
    <row r="98" spans="1:7" x14ac:dyDescent="0.25">
      <c r="A98">
        <v>95</v>
      </c>
      <c r="B98" s="4">
        <f>-PPMT('Owner Occupier'!$D$41/12,'FHA Amotization'!$A98,360,'Owner Occupier'!$D$40,0,0)</f>
        <v>937.91290204626557</v>
      </c>
      <c r="C98" s="4">
        <f>-IPMT('Owner Occupier'!$D$41/12,'FHA Amotization'!$A98,360,'Owner Occupier'!$D$40,0,0)</f>
        <v>1464.1329199062559</v>
      </c>
      <c r="D98" s="4">
        <f t="shared" si="3"/>
        <v>2402.0458219525217</v>
      </c>
      <c r="E98" s="3">
        <f t="shared" si="4"/>
        <v>412464.32330677891</v>
      </c>
      <c r="F98" s="4">
        <f>('Owner Occupier'!$H$24-'Owner Occupier'!$D$52)/('Owner Occupier'!$D$56-'Owner Occupier'!$D$52)*B98</f>
        <v>434.55680423603752</v>
      </c>
      <c r="G98" s="4">
        <f t="shared" si="5"/>
        <v>35127.323867493913</v>
      </c>
    </row>
    <row r="99" spans="1:7" x14ac:dyDescent="0.25">
      <c r="A99">
        <v>96</v>
      </c>
      <c r="B99" s="4">
        <f>-PPMT('Owner Occupier'!$D$41/12,'FHA Amotization'!$A99,360,'Owner Occupier'!$D$40,0,0)</f>
        <v>941.23467690767927</v>
      </c>
      <c r="C99" s="4">
        <f>-IPMT('Owner Occupier'!$D$41/12,'FHA Amotization'!$A99,360,'Owner Occupier'!$D$40,0,0)</f>
        <v>1460.8111450448416</v>
      </c>
      <c r="D99" s="4">
        <f t="shared" si="3"/>
        <v>2402.0458219525208</v>
      </c>
      <c r="E99" s="3">
        <f t="shared" si="4"/>
        <v>411523.08862987126</v>
      </c>
      <c r="F99" s="4">
        <f>('Owner Occupier'!$H$24-'Owner Occupier'!$D$52)/('Owner Occupier'!$D$56-'Owner Occupier'!$D$52)*B99</f>
        <v>436.09585958437339</v>
      </c>
      <c r="G99" s="4">
        <f t="shared" si="5"/>
        <v>35563.41972707829</v>
      </c>
    </row>
    <row r="100" spans="1:7" x14ac:dyDescent="0.25">
      <c r="A100">
        <v>97</v>
      </c>
      <c r="B100" s="4">
        <f>-PPMT('Owner Occupier'!$D$41/12,'FHA Amotization'!$A100,360,'Owner Occupier'!$D$40,0,0)</f>
        <v>944.56821638839415</v>
      </c>
      <c r="C100" s="4">
        <f>-IPMT('Owner Occupier'!$D$41/12,'FHA Amotization'!$A100,360,'Owner Occupier'!$D$40,0,0)</f>
        <v>1457.4776055641273</v>
      </c>
      <c r="D100" s="4">
        <f t="shared" si="3"/>
        <v>2402.0458219525217</v>
      </c>
      <c r="E100" s="3">
        <f t="shared" si="4"/>
        <v>410578.52041348285</v>
      </c>
      <c r="F100" s="4">
        <f>('Owner Occupier'!$H$24-'Owner Occupier'!$D$52)/('Owner Occupier'!$D$56-'Owner Occupier'!$D$52)*B100</f>
        <v>437.64036575373478</v>
      </c>
      <c r="G100" s="4">
        <f t="shared" si="5"/>
        <v>36001.060092832027</v>
      </c>
    </row>
    <row r="101" spans="1:7" x14ac:dyDescent="0.25">
      <c r="A101">
        <v>98</v>
      </c>
      <c r="B101" s="4">
        <f>-PPMT('Owner Occupier'!$D$41/12,'FHA Amotization'!$A101,360,'Owner Occupier'!$D$40,0,0)</f>
        <v>947.91356215476947</v>
      </c>
      <c r="C101" s="4">
        <f>-IPMT('Owner Occupier'!$D$41/12,'FHA Amotization'!$A101,360,'Owner Occupier'!$D$40,0,0)</f>
        <v>1454.1322597977514</v>
      </c>
      <c r="D101" s="4">
        <f t="shared" si="3"/>
        <v>2402.0458219525208</v>
      </c>
      <c r="E101" s="3">
        <f t="shared" si="4"/>
        <v>409630.60685132811</v>
      </c>
      <c r="F101" s="4">
        <f>('Owner Occupier'!$H$24-'Owner Occupier'!$D$52)/('Owner Occupier'!$D$56-'Owner Occupier'!$D$52)*B101</f>
        <v>439.19034204911247</v>
      </c>
      <c r="G101" s="4">
        <f t="shared" si="5"/>
        <v>36440.250434881142</v>
      </c>
    </row>
    <row r="102" spans="1:7" x14ac:dyDescent="0.25">
      <c r="A102">
        <v>99</v>
      </c>
      <c r="B102" s="4">
        <f>-PPMT('Owner Occupier'!$D$41/12,'FHA Amotization'!$A102,360,'Owner Occupier'!$D$40,0,0)</f>
        <v>951.27075602073444</v>
      </c>
      <c r="C102" s="4">
        <f>-IPMT('Owner Occupier'!$D$41/12,'FHA Amotization'!$A102,360,'Owner Occupier'!$D$40,0,0)</f>
        <v>1450.7750659317871</v>
      </c>
      <c r="D102" s="4">
        <f t="shared" si="3"/>
        <v>2402.0458219525217</v>
      </c>
      <c r="E102" s="3">
        <f t="shared" si="4"/>
        <v>408679.33609530737</v>
      </c>
      <c r="F102" s="4">
        <f>('Owner Occupier'!$H$24-'Owner Occupier'!$D$52)/('Owner Occupier'!$D$56-'Owner Occupier'!$D$52)*B102</f>
        <v>440.74580784386984</v>
      </c>
      <c r="G102" s="4">
        <f t="shared" si="5"/>
        <v>36880.996242725014</v>
      </c>
    </row>
    <row r="103" spans="1:7" x14ac:dyDescent="0.25">
      <c r="A103">
        <v>100</v>
      </c>
      <c r="B103" s="4">
        <f>-PPMT('Owner Occupier'!$D$41/12,'FHA Amotization'!$A103,360,'Owner Occupier'!$D$40,0,0)</f>
        <v>954.63983994830789</v>
      </c>
      <c r="C103" s="4">
        <f>-IPMT('Owner Occupier'!$D$41/12,'FHA Amotization'!$A103,360,'Owner Occupier'!$D$40,0,0)</f>
        <v>1447.4059820042135</v>
      </c>
      <c r="D103" s="4">
        <f t="shared" si="3"/>
        <v>2402.0458219525212</v>
      </c>
      <c r="E103" s="3">
        <f t="shared" si="4"/>
        <v>407724.69625535904</v>
      </c>
      <c r="F103" s="4">
        <f>('Owner Occupier'!$H$24-'Owner Occupier'!$D$52)/('Owner Occupier'!$D$56-'Owner Occupier'!$D$52)*B103</f>
        <v>442.30678257998358</v>
      </c>
      <c r="G103" s="4">
        <f t="shared" si="5"/>
        <v>37323.303025304995</v>
      </c>
    </row>
    <row r="104" spans="1:7" x14ac:dyDescent="0.25">
      <c r="A104">
        <v>101</v>
      </c>
      <c r="B104" s="4">
        <f>-PPMT('Owner Occupier'!$D$41/12,'FHA Amotization'!$A104,360,'Owner Occupier'!$D$40,0,0)</f>
        <v>958.02085604812464</v>
      </c>
      <c r="C104" s="4">
        <f>-IPMT('Owner Occupier'!$D$41/12,'FHA Amotization'!$A104,360,'Owner Occupier'!$D$40,0,0)</f>
        <v>1444.0249659043966</v>
      </c>
      <c r="D104" s="4">
        <f t="shared" si="3"/>
        <v>2402.0458219525212</v>
      </c>
      <c r="E104" s="3">
        <f t="shared" si="4"/>
        <v>406766.67539931095</v>
      </c>
      <c r="F104" s="4">
        <f>('Owner Occupier'!$H$24-'Owner Occupier'!$D$52)/('Owner Occupier'!$D$56-'Owner Occupier'!$D$52)*B104</f>
        <v>443.87328576828759</v>
      </c>
      <c r="G104" s="4">
        <f t="shared" si="5"/>
        <v>37767.176311073279</v>
      </c>
    </row>
    <row r="105" spans="1:7" x14ac:dyDescent="0.25">
      <c r="A105">
        <v>102</v>
      </c>
      <c r="B105" s="4">
        <f>-PPMT('Owner Occupier'!$D$41/12,'FHA Amotization'!$A105,360,'Owner Occupier'!$D$40,0,0)</f>
        <v>961.41384657996184</v>
      </c>
      <c r="C105" s="4">
        <f>-IPMT('Owner Occupier'!$D$41/12,'FHA Amotization'!$A105,360,'Owner Occupier'!$D$40,0,0)</f>
        <v>1440.6319753725597</v>
      </c>
      <c r="D105" s="4">
        <f t="shared" si="3"/>
        <v>2402.0458219525217</v>
      </c>
      <c r="E105" s="3">
        <f t="shared" si="4"/>
        <v>405805.26155273098</v>
      </c>
      <c r="F105" s="4">
        <f>('Owner Occupier'!$H$24-'Owner Occupier'!$D$52)/('Owner Occupier'!$D$56-'Owner Occupier'!$D$52)*B105</f>
        <v>445.44533698871697</v>
      </c>
      <c r="G105" s="4">
        <f t="shared" si="5"/>
        <v>38212.621648061999</v>
      </c>
    </row>
    <row r="106" spans="1:7" x14ac:dyDescent="0.25">
      <c r="A106">
        <v>103</v>
      </c>
      <c r="B106" s="4">
        <f>-PPMT('Owner Occupier'!$D$41/12,'FHA Amotization'!$A106,360,'Owner Occupier'!$D$40,0,0)</f>
        <v>964.81885395326594</v>
      </c>
      <c r="C106" s="4">
        <f>-IPMT('Owner Occupier'!$D$41/12,'FHA Amotization'!$A106,360,'Owner Occupier'!$D$40,0,0)</f>
        <v>1437.2269679992557</v>
      </c>
      <c r="D106" s="4">
        <f t="shared" si="3"/>
        <v>2402.0458219525217</v>
      </c>
      <c r="E106" s="3">
        <f t="shared" si="4"/>
        <v>404840.44269877771</v>
      </c>
      <c r="F106" s="4">
        <f>('Owner Occupier'!$H$24-'Owner Occupier'!$D$52)/('Owner Occupier'!$D$56-'Owner Occupier'!$D$52)*B106</f>
        <v>447.02295589055205</v>
      </c>
      <c r="G106" s="4">
        <f t="shared" si="5"/>
        <v>38659.644603952547</v>
      </c>
    </row>
    <row r="107" spans="1:7" x14ac:dyDescent="0.25">
      <c r="A107">
        <v>104</v>
      </c>
      <c r="B107" s="4">
        <f>-PPMT('Owner Occupier'!$D$41/12,'FHA Amotization'!$A107,360,'Owner Occupier'!$D$40,0,0)</f>
        <v>968.23592072768372</v>
      </c>
      <c r="C107" s="4">
        <f>-IPMT('Owner Occupier'!$D$41/12,'FHA Amotization'!$A107,360,'Owner Occupier'!$D$40,0,0)</f>
        <v>1433.8099012248376</v>
      </c>
      <c r="D107" s="4">
        <f t="shared" si="3"/>
        <v>2402.0458219525212</v>
      </c>
      <c r="E107" s="3">
        <f t="shared" si="4"/>
        <v>403872.20677805005</v>
      </c>
      <c r="F107" s="4">
        <f>('Owner Occupier'!$H$24-'Owner Occupier'!$D$52)/('Owner Occupier'!$D$56-'Owner Occupier'!$D$52)*B107</f>
        <v>448.60616219266439</v>
      </c>
      <c r="G107" s="4">
        <f t="shared" si="5"/>
        <v>39108.250766145211</v>
      </c>
    </row>
    <row r="108" spans="1:7" x14ac:dyDescent="0.25">
      <c r="A108">
        <v>105</v>
      </c>
      <c r="B108" s="4">
        <f>-PPMT('Owner Occupier'!$D$41/12,'FHA Amotization'!$A108,360,'Owner Occupier'!$D$40,0,0)</f>
        <v>971.6650896135942</v>
      </c>
      <c r="C108" s="4">
        <f>-IPMT('Owner Occupier'!$D$41/12,'FHA Amotization'!$A108,360,'Owner Occupier'!$D$40,0,0)</f>
        <v>1430.3807323389271</v>
      </c>
      <c r="D108" s="4">
        <f t="shared" si="3"/>
        <v>2402.0458219525212</v>
      </c>
      <c r="E108" s="3">
        <f t="shared" si="4"/>
        <v>402900.54168843647</v>
      </c>
      <c r="F108" s="4">
        <f>('Owner Occupier'!$H$24-'Owner Occupier'!$D$52)/('Owner Occupier'!$D$56-'Owner Occupier'!$D$52)*B108</f>
        <v>450.1949756837634</v>
      </c>
      <c r="G108" s="4">
        <f t="shared" si="5"/>
        <v>39558.445741828975</v>
      </c>
    </row>
    <row r="109" spans="1:7" x14ac:dyDescent="0.25">
      <c r="A109">
        <v>106</v>
      </c>
      <c r="B109" s="4">
        <f>-PPMT('Owner Occupier'!$D$41/12,'FHA Amotization'!$A109,360,'Owner Occupier'!$D$40,0,0)</f>
        <v>975.10640347264234</v>
      </c>
      <c r="C109" s="4">
        <f>-IPMT('Owner Occupier'!$D$41/12,'FHA Amotization'!$A109,360,'Owner Occupier'!$D$40,0,0)</f>
        <v>1426.9394184798791</v>
      </c>
      <c r="D109" s="4">
        <f t="shared" si="3"/>
        <v>2402.0458219525217</v>
      </c>
      <c r="E109" s="3">
        <f t="shared" si="4"/>
        <v>401925.43528496381</v>
      </c>
      <c r="F109" s="4">
        <f>('Owner Occupier'!$H$24-'Owner Occupier'!$D$52)/('Owner Occupier'!$D$56-'Owner Occupier'!$D$52)*B109</f>
        <v>451.78941622264341</v>
      </c>
      <c r="G109" s="4">
        <f t="shared" si="5"/>
        <v>40010.235158051619</v>
      </c>
    </row>
    <row r="110" spans="1:7" x14ac:dyDescent="0.25">
      <c r="A110">
        <v>107</v>
      </c>
      <c r="B110" s="4">
        <f>-PPMT('Owner Occupier'!$D$41/12,'FHA Amotization'!$A110,360,'Owner Occupier'!$D$40,0,0)</f>
        <v>978.55990531827467</v>
      </c>
      <c r="C110" s="4">
        <f>-IPMT('Owner Occupier'!$D$41/12,'FHA Amotization'!$A110,360,'Owner Occupier'!$D$40,0,0)</f>
        <v>1423.4859166342467</v>
      </c>
      <c r="D110" s="4">
        <f t="shared" si="3"/>
        <v>2402.0458219525212</v>
      </c>
      <c r="E110" s="3">
        <f t="shared" si="4"/>
        <v>400946.87537964556</v>
      </c>
      <c r="F110" s="4">
        <f>('Owner Occupier'!$H$24-'Owner Occupier'!$D$52)/('Owner Occupier'!$D$56-'Owner Occupier'!$D$52)*B110</f>
        <v>453.38950373843193</v>
      </c>
      <c r="G110" s="4">
        <f t="shared" si="5"/>
        <v>40463.624661790054</v>
      </c>
    </row>
    <row r="111" spans="1:7" x14ac:dyDescent="0.25">
      <c r="A111">
        <v>108</v>
      </c>
      <c r="B111" s="4">
        <f>-PPMT('Owner Occupier'!$D$41/12,'FHA Amotization'!$A111,360,'Owner Occupier'!$D$40,0,0)</f>
        <v>982.02563831627685</v>
      </c>
      <c r="C111" s="4">
        <f>-IPMT('Owner Occupier'!$D$41/12,'FHA Amotization'!$A111,360,'Owner Occupier'!$D$40,0,0)</f>
        <v>1420.0201836362446</v>
      </c>
      <c r="D111" s="4">
        <f t="shared" si="3"/>
        <v>2402.0458219525217</v>
      </c>
      <c r="E111" s="3">
        <f t="shared" si="4"/>
        <v>399964.84974132926</v>
      </c>
      <c r="F111" s="4">
        <f>('Owner Occupier'!$H$24-'Owner Occupier'!$D$52)/('Owner Occupier'!$D$56-'Owner Occupier'!$D$52)*B111</f>
        <v>454.99525823083889</v>
      </c>
      <c r="G111" s="4">
        <f t="shared" si="5"/>
        <v>40918.619920020894</v>
      </c>
    </row>
    <row r="112" spans="1:7" x14ac:dyDescent="0.25">
      <c r="A112">
        <v>109</v>
      </c>
      <c r="B112" s="4">
        <f>-PPMT('Owner Occupier'!$D$41/12,'FHA Amotization'!$A112,360,'Owner Occupier'!$D$40,0,0)</f>
        <v>985.50364578531389</v>
      </c>
      <c r="C112" s="4">
        <f>-IPMT('Owner Occupier'!$D$41/12,'FHA Amotization'!$A112,360,'Owner Occupier'!$D$40,0,0)</f>
        <v>1416.5421761672076</v>
      </c>
      <c r="D112" s="4">
        <f t="shared" si="3"/>
        <v>2402.0458219525217</v>
      </c>
      <c r="E112" s="3">
        <f t="shared" si="4"/>
        <v>398979.34609554394</v>
      </c>
      <c r="F112" s="4">
        <f>('Owner Occupier'!$H$24-'Owner Occupier'!$D$52)/('Owner Occupier'!$D$56-'Owner Occupier'!$D$52)*B112</f>
        <v>456.60669977040652</v>
      </c>
      <c r="G112" s="4">
        <f t="shared" si="5"/>
        <v>41375.226619791298</v>
      </c>
    </row>
    <row r="113" spans="1:7" x14ac:dyDescent="0.25">
      <c r="A113">
        <v>110</v>
      </c>
      <c r="B113" s="4">
        <f>-PPMT('Owner Occupier'!$D$41/12,'FHA Amotization'!$A113,360,'Owner Occupier'!$D$40,0,0)</f>
        <v>988.99397119747005</v>
      </c>
      <c r="C113" s="4">
        <f>-IPMT('Owner Occupier'!$D$41/12,'FHA Amotization'!$A113,360,'Owner Occupier'!$D$40,0,0)</f>
        <v>1413.0518507550514</v>
      </c>
      <c r="D113" s="4">
        <f t="shared" si="3"/>
        <v>2402.0458219525217</v>
      </c>
      <c r="E113" s="3">
        <f t="shared" si="4"/>
        <v>397990.35212434648</v>
      </c>
      <c r="F113" s="4">
        <f>('Owner Occupier'!$H$24-'Owner Occupier'!$D$52)/('Owner Occupier'!$D$56-'Owner Occupier'!$D$52)*B113</f>
        <v>458.22384849875999</v>
      </c>
      <c r="G113" s="4">
        <f t="shared" si="5"/>
        <v>41833.450468290059</v>
      </c>
    </row>
    <row r="114" spans="1:7" x14ac:dyDescent="0.25">
      <c r="A114">
        <v>111</v>
      </c>
      <c r="B114" s="4">
        <f>-PPMT('Owner Occupier'!$D$41/12,'FHA Amotization'!$A114,360,'Owner Occupier'!$D$40,0,0)</f>
        <v>992.49665817879441</v>
      </c>
      <c r="C114" s="4">
        <f>-IPMT('Owner Occupier'!$D$41/12,'FHA Amotization'!$A114,360,'Owner Occupier'!$D$40,0,0)</f>
        <v>1409.5491637737273</v>
      </c>
      <c r="D114" s="4">
        <f t="shared" si="3"/>
        <v>2402.0458219525217</v>
      </c>
      <c r="E114" s="3">
        <f t="shared" si="4"/>
        <v>396997.85546616768</v>
      </c>
      <c r="F114" s="4">
        <f>('Owner Occupier'!$H$24-'Owner Occupier'!$D$52)/('Owner Occupier'!$D$56-'Owner Occupier'!$D$52)*B114</f>
        <v>459.84672462885976</v>
      </c>
      <c r="G114" s="4">
        <f t="shared" si="5"/>
        <v>42293.297192918915</v>
      </c>
    </row>
    <row r="115" spans="1:7" x14ac:dyDescent="0.25">
      <c r="A115">
        <v>112</v>
      </c>
      <c r="B115" s="4">
        <f>-PPMT('Owner Occupier'!$D$41/12,'FHA Amotization'!$A115,360,'Owner Occupier'!$D$40,0,0)</f>
        <v>996.01175050984432</v>
      </c>
      <c r="C115" s="4">
        <f>-IPMT('Owner Occupier'!$D$41/12,'FHA Amotization'!$A115,360,'Owner Occupier'!$D$40,0,0)</f>
        <v>1406.0340714426768</v>
      </c>
      <c r="D115" s="4">
        <f t="shared" si="3"/>
        <v>2402.0458219525212</v>
      </c>
      <c r="E115" s="3">
        <f t="shared" si="4"/>
        <v>396001.84371565783</v>
      </c>
      <c r="F115" s="4">
        <f>('Owner Occupier'!$H$24-'Owner Occupier'!$D$52)/('Owner Occupier'!$D$56-'Owner Occupier'!$D$52)*B115</f>
        <v>461.47534844525364</v>
      </c>
      <c r="G115" s="4">
        <f t="shared" si="5"/>
        <v>42754.772541364167</v>
      </c>
    </row>
    <row r="116" spans="1:7" x14ac:dyDescent="0.25">
      <c r="A116">
        <v>113</v>
      </c>
      <c r="B116" s="4">
        <f>-PPMT('Owner Occupier'!$D$41/12,'FHA Amotization'!$A116,360,'Owner Occupier'!$D$40,0,0)</f>
        <v>999.53929212623336</v>
      </c>
      <c r="C116" s="4">
        <f>-IPMT('Owner Occupier'!$D$41/12,'FHA Amotization'!$A116,360,'Owner Occupier'!$D$40,0,0)</f>
        <v>1402.5065298262875</v>
      </c>
      <c r="D116" s="4">
        <f t="shared" si="3"/>
        <v>2402.0458219525208</v>
      </c>
      <c r="E116" s="3">
        <f t="shared" si="4"/>
        <v>395002.30442353158</v>
      </c>
      <c r="F116" s="4">
        <f>('Owner Occupier'!$H$24-'Owner Occupier'!$D$52)/('Owner Occupier'!$D$56-'Owner Occupier'!$D$52)*B116</f>
        <v>463.10974030433056</v>
      </c>
      <c r="G116" s="4">
        <f t="shared" si="5"/>
        <v>43217.882281668499</v>
      </c>
    </row>
    <row r="117" spans="1:7" x14ac:dyDescent="0.25">
      <c r="A117">
        <v>114</v>
      </c>
      <c r="B117" s="4">
        <f>-PPMT('Owner Occupier'!$D$41/12,'FHA Amotization'!$A117,360,'Owner Occupier'!$D$40,0,0)</f>
        <v>1003.0793271191804</v>
      </c>
      <c r="C117" s="4">
        <f>-IPMT('Owner Occupier'!$D$41/12,'FHA Amotization'!$A117,360,'Owner Occupier'!$D$40,0,0)</f>
        <v>1398.9664948333409</v>
      </c>
      <c r="D117" s="4">
        <f t="shared" si="3"/>
        <v>2402.0458219525212</v>
      </c>
      <c r="E117" s="3">
        <f t="shared" si="4"/>
        <v>393999.22509641241</v>
      </c>
      <c r="F117" s="4">
        <f>('Owner Occupier'!$H$24-'Owner Occupier'!$D$52)/('Owner Occupier'!$D$56-'Owner Occupier'!$D$52)*B117</f>
        <v>464.74992063457506</v>
      </c>
      <c r="G117" s="4">
        <f t="shared" si="5"/>
        <v>43682.632202303073</v>
      </c>
    </row>
    <row r="118" spans="1:7" x14ac:dyDescent="0.25">
      <c r="A118">
        <v>115</v>
      </c>
      <c r="B118" s="4">
        <f>-PPMT('Owner Occupier'!$D$41/12,'FHA Amotization'!$A118,360,'Owner Occupier'!$D$40,0,0)</f>
        <v>1006.6318997360609</v>
      </c>
      <c r="C118" s="4">
        <f>-IPMT('Owner Occupier'!$D$41/12,'FHA Amotization'!$A118,360,'Owner Occupier'!$D$40,0,0)</f>
        <v>1395.4139222164608</v>
      </c>
      <c r="D118" s="4">
        <f t="shared" si="3"/>
        <v>2402.0458219525217</v>
      </c>
      <c r="E118" s="3">
        <f t="shared" si="4"/>
        <v>392992.59319667635</v>
      </c>
      <c r="F118" s="4">
        <f>('Owner Occupier'!$H$24-'Owner Occupier'!$D$52)/('Owner Occupier'!$D$56-'Owner Occupier'!$D$52)*B118</f>
        <v>466.39590993682253</v>
      </c>
      <c r="G118" s="4">
        <f t="shared" si="5"/>
        <v>44149.028112239896</v>
      </c>
    </row>
    <row r="119" spans="1:7" x14ac:dyDescent="0.25">
      <c r="A119">
        <v>116</v>
      </c>
      <c r="B119" s="4">
        <f>-PPMT('Owner Occupier'!$D$41/12,'FHA Amotization'!$A119,360,'Owner Occupier'!$D$40,0,0)</f>
        <v>1010.1970543809595</v>
      </c>
      <c r="C119" s="4">
        <f>-IPMT('Owner Occupier'!$D$41/12,'FHA Amotization'!$A119,360,'Owner Occupier'!$D$40,0,0)</f>
        <v>1391.8487675715619</v>
      </c>
      <c r="D119" s="4">
        <f t="shared" si="3"/>
        <v>2402.0458219525212</v>
      </c>
      <c r="E119" s="3">
        <f t="shared" si="4"/>
        <v>391982.39614229539</v>
      </c>
      <c r="F119" s="4">
        <f>('Owner Occupier'!$H$24-'Owner Occupier'!$D$52)/('Owner Occupier'!$D$56-'Owner Occupier'!$D$52)*B119</f>
        <v>468.04772878451547</v>
      </c>
      <c r="G119" s="4">
        <f t="shared" si="5"/>
        <v>44617.075841024409</v>
      </c>
    </row>
    <row r="120" spans="1:7" x14ac:dyDescent="0.25">
      <c r="A120">
        <v>117</v>
      </c>
      <c r="B120" s="4">
        <f>-PPMT('Owner Occupier'!$D$41/12,'FHA Amotization'!$A120,360,'Owner Occupier'!$D$40,0,0)</f>
        <v>1013.7748356152254</v>
      </c>
      <c r="C120" s="4">
        <f>-IPMT('Owner Occupier'!$D$41/12,'FHA Amotization'!$A120,360,'Owner Occupier'!$D$40,0,0)</f>
        <v>1388.2709863372963</v>
      </c>
      <c r="D120" s="4">
        <f t="shared" si="3"/>
        <v>2402.0458219525217</v>
      </c>
      <c r="E120" s="3">
        <f t="shared" si="4"/>
        <v>390968.62130668014</v>
      </c>
      <c r="F120" s="4">
        <f>('Owner Occupier'!$H$24-'Owner Occupier'!$D$52)/('Owner Occupier'!$D$56-'Owner Occupier'!$D$52)*B120</f>
        <v>469.7053978239606</v>
      </c>
      <c r="G120" s="4">
        <f t="shared" si="5"/>
        <v>45086.781238848373</v>
      </c>
    </row>
    <row r="121" spans="1:7" x14ac:dyDescent="0.25">
      <c r="A121">
        <v>118</v>
      </c>
      <c r="B121" s="4">
        <f>-PPMT('Owner Occupier'!$D$41/12,'FHA Amotization'!$A121,360,'Owner Occupier'!$D$40,0,0)</f>
        <v>1017.3652881580293</v>
      </c>
      <c r="C121" s="4">
        <f>-IPMT('Owner Occupier'!$D$41/12,'FHA Amotization'!$A121,360,'Owner Occupier'!$D$40,0,0)</f>
        <v>1384.6805337944925</v>
      </c>
      <c r="D121" s="4">
        <f t="shared" si="3"/>
        <v>2402.0458219525217</v>
      </c>
      <c r="E121" s="3">
        <f t="shared" si="4"/>
        <v>389951.25601852214</v>
      </c>
      <c r="F121" s="4">
        <f>('Owner Occupier'!$H$24-'Owner Occupier'!$D$52)/('Owner Occupier'!$D$56-'Owner Occupier'!$D$52)*B121</f>
        <v>471.36893777458715</v>
      </c>
      <c r="G121" s="4">
        <f t="shared" si="5"/>
        <v>45558.150176622963</v>
      </c>
    </row>
    <row r="122" spans="1:7" x14ac:dyDescent="0.25">
      <c r="A122">
        <v>119</v>
      </c>
      <c r="B122" s="4">
        <f>-PPMT('Owner Occupier'!$D$41/12,'FHA Amotization'!$A122,360,'Owner Occupier'!$D$40,0,0)</f>
        <v>1020.9684568869222</v>
      </c>
      <c r="C122" s="4">
        <f>-IPMT('Owner Occupier'!$D$41/12,'FHA Amotization'!$A122,360,'Owner Occupier'!$D$40,0,0)</f>
        <v>1381.0773650655992</v>
      </c>
      <c r="D122" s="4">
        <f t="shared" si="3"/>
        <v>2402.0458219525217</v>
      </c>
      <c r="E122" s="3">
        <f t="shared" si="4"/>
        <v>388930.2875616352</v>
      </c>
      <c r="F122" s="4">
        <f>('Owner Occupier'!$H$24-'Owner Occupier'!$D$52)/('Owner Occupier'!$D$56-'Owner Occupier'!$D$52)*B122</f>
        <v>473.03836942920543</v>
      </c>
      <c r="G122" s="4">
        <f t="shared" si="5"/>
        <v>46031.188546052166</v>
      </c>
    </row>
    <row r="123" spans="1:7" x14ac:dyDescent="0.25">
      <c r="A123">
        <v>120</v>
      </c>
      <c r="B123" s="4">
        <f>-PPMT('Owner Occupier'!$D$41/12,'FHA Amotization'!$A123,360,'Owner Occupier'!$D$40,0,0)</f>
        <v>1024.5843868383965</v>
      </c>
      <c r="C123" s="4">
        <f>-IPMT('Owner Occupier'!$D$41/12,'FHA Amotization'!$A123,360,'Owner Occupier'!$D$40,0,0)</f>
        <v>1377.4614351141242</v>
      </c>
      <c r="D123" s="4">
        <f t="shared" si="3"/>
        <v>2402.0458219525208</v>
      </c>
      <c r="E123" s="3">
        <f t="shared" si="4"/>
        <v>387905.70317479677</v>
      </c>
      <c r="F123" s="4">
        <f>('Owner Occupier'!$H$24-'Owner Occupier'!$D$52)/('Owner Occupier'!$D$56-'Owner Occupier'!$D$52)*B123</f>
        <v>474.71371365426711</v>
      </c>
      <c r="G123" s="4">
        <f t="shared" si="5"/>
        <v>46505.902259706432</v>
      </c>
    </row>
    <row r="124" spans="1:7" x14ac:dyDescent="0.25">
      <c r="A124">
        <v>121</v>
      </c>
      <c r="B124" s="4">
        <f>-PPMT('Owner Occupier'!$D$41/12,'FHA Amotization'!$A124,360,'Owner Occupier'!$D$40,0,0)</f>
        <v>1028.2131232084494</v>
      </c>
      <c r="C124" s="4">
        <f>-IPMT('Owner Occupier'!$D$41/12,'FHA Amotization'!$A124,360,'Owner Occupier'!$D$40,0,0)</f>
        <v>1373.8326987440721</v>
      </c>
      <c r="D124" s="4">
        <f t="shared" si="3"/>
        <v>2402.0458219525217</v>
      </c>
      <c r="E124" s="3">
        <f t="shared" si="4"/>
        <v>386877.49005158833</v>
      </c>
      <c r="F124" s="4">
        <f>('Owner Occupier'!$H$24-'Owner Occupier'!$D$52)/('Owner Occupier'!$D$56-'Owner Occupier'!$D$52)*B124</f>
        <v>476.39499139012605</v>
      </c>
      <c r="G124" s="4">
        <f t="shared" si="5"/>
        <v>46982.297251096556</v>
      </c>
    </row>
    <row r="125" spans="1:7" x14ac:dyDescent="0.25">
      <c r="A125">
        <v>122</v>
      </c>
      <c r="B125" s="4">
        <f>-PPMT('Owner Occupier'!$D$41/12,'FHA Amotization'!$A125,360,'Owner Occupier'!$D$40,0,0)</f>
        <v>1031.8547113531458</v>
      </c>
      <c r="C125" s="4">
        <f>-IPMT('Owner Occupier'!$D$41/12,'FHA Amotization'!$A125,360,'Owner Occupier'!$D$40,0,0)</f>
        <v>1370.1911105993754</v>
      </c>
      <c r="D125" s="4">
        <f t="shared" si="3"/>
        <v>2402.0458219525212</v>
      </c>
      <c r="E125" s="3">
        <f t="shared" si="4"/>
        <v>385845.6353402352</v>
      </c>
      <c r="F125" s="4">
        <f>('Owner Occupier'!$H$24-'Owner Occupier'!$D$52)/('Owner Occupier'!$D$56-'Owner Occupier'!$D$52)*B125</f>
        <v>478.08222365129939</v>
      </c>
      <c r="G125" s="4">
        <f t="shared" si="5"/>
        <v>47460.379474747853</v>
      </c>
    </row>
    <row r="126" spans="1:7" x14ac:dyDescent="0.25">
      <c r="A126">
        <v>123</v>
      </c>
      <c r="B126" s="4">
        <f>-PPMT('Owner Occupier'!$D$41/12,'FHA Amotization'!$A126,360,'Owner Occupier'!$D$40,0,0)</f>
        <v>1035.5091967891885</v>
      </c>
      <c r="C126" s="4">
        <f>-IPMT('Owner Occupier'!$D$41/12,'FHA Amotization'!$A126,360,'Owner Occupier'!$D$40,0,0)</f>
        <v>1366.5366251633329</v>
      </c>
      <c r="D126" s="4">
        <f t="shared" si="3"/>
        <v>2402.0458219525217</v>
      </c>
      <c r="E126" s="3">
        <f t="shared" si="4"/>
        <v>384810.12614344602</v>
      </c>
      <c r="F126" s="4">
        <f>('Owner Occupier'!$H$24-'Owner Occupier'!$D$52)/('Owner Occupier'!$D$56-'Owner Occupier'!$D$52)*B126</f>
        <v>479.77543152673121</v>
      </c>
      <c r="G126" s="4">
        <f t="shared" si="5"/>
        <v>47940.154906274583</v>
      </c>
    </row>
    <row r="127" spans="1:7" x14ac:dyDescent="0.25">
      <c r="A127">
        <v>124</v>
      </c>
      <c r="B127" s="4">
        <f>-PPMT('Owner Occupier'!$D$41/12,'FHA Amotization'!$A127,360,'Owner Occupier'!$D$40,0,0)</f>
        <v>1039.1766251944834</v>
      </c>
      <c r="C127" s="4">
        <f>-IPMT('Owner Occupier'!$D$41/12,'FHA Amotization'!$A127,360,'Owner Occupier'!$D$40,0,0)</f>
        <v>1362.8691967580378</v>
      </c>
      <c r="D127" s="4">
        <f t="shared" si="3"/>
        <v>2402.0458219525212</v>
      </c>
      <c r="E127" s="3">
        <f t="shared" si="4"/>
        <v>383770.94951825152</v>
      </c>
      <c r="F127" s="4">
        <f>('Owner Occupier'!$H$24-'Owner Occupier'!$D$52)/('Owner Occupier'!$D$56-'Owner Occupier'!$D$52)*B127</f>
        <v>481.47463618005497</v>
      </c>
      <c r="G127" s="4">
        <f t="shared" si="5"/>
        <v>48421.629542454641</v>
      </c>
    </row>
    <row r="128" spans="1:7" x14ac:dyDescent="0.25">
      <c r="A128">
        <v>125</v>
      </c>
      <c r="B128" s="4">
        <f>-PPMT('Owner Occupier'!$D$41/12,'FHA Amotization'!$A128,360,'Owner Occupier'!$D$40,0,0)</f>
        <v>1042.8570424087141</v>
      </c>
      <c r="C128" s="4">
        <f>-IPMT('Owner Occupier'!$D$41/12,'FHA Amotization'!$A128,360,'Owner Occupier'!$D$40,0,0)</f>
        <v>1359.1887795438074</v>
      </c>
      <c r="D128" s="4">
        <f t="shared" si="3"/>
        <v>2402.0458219525217</v>
      </c>
      <c r="E128" s="3">
        <f t="shared" si="4"/>
        <v>382728.0924758428</v>
      </c>
      <c r="F128" s="4">
        <f>('Owner Occupier'!$H$24-'Owner Occupier'!$D$52)/('Owner Occupier'!$D$56-'Owner Occupier'!$D$52)*B128</f>
        <v>483.17985884985939</v>
      </c>
      <c r="G128" s="4">
        <f t="shared" si="5"/>
        <v>48904.809401304497</v>
      </c>
    </row>
    <row r="129" spans="1:7" x14ac:dyDescent="0.25">
      <c r="A129">
        <v>126</v>
      </c>
      <c r="B129" s="4">
        <f>-PPMT('Owner Occupier'!$D$41/12,'FHA Amotization'!$A129,360,'Owner Occupier'!$D$40,0,0)</f>
        <v>1046.5504944339114</v>
      </c>
      <c r="C129" s="4">
        <f>-IPMT('Owner Occupier'!$D$41/12,'FHA Amotization'!$A129,360,'Owner Occupier'!$D$40,0,0)</f>
        <v>1355.4953275186099</v>
      </c>
      <c r="D129" s="4">
        <f t="shared" si="3"/>
        <v>2402.0458219525212</v>
      </c>
      <c r="E129" s="3">
        <f t="shared" si="4"/>
        <v>381681.5419814089</v>
      </c>
      <c r="F129" s="4">
        <f>('Owner Occupier'!$H$24-'Owner Occupier'!$D$52)/('Owner Occupier'!$D$56-'Owner Occupier'!$D$52)*B129</f>
        <v>484.89112084995253</v>
      </c>
      <c r="G129" s="4">
        <f t="shared" si="5"/>
        <v>49389.700522154453</v>
      </c>
    </row>
    <row r="130" spans="1:7" x14ac:dyDescent="0.25">
      <c r="A130">
        <v>127</v>
      </c>
      <c r="B130" s="4">
        <f>-PPMT('Owner Occupier'!$D$41/12,'FHA Amotization'!$A130,360,'Owner Occupier'!$D$40,0,0)</f>
        <v>1050.2570274350317</v>
      </c>
      <c r="C130" s="4">
        <f>-IPMT('Owner Occupier'!$D$41/12,'FHA Amotization'!$A130,360,'Owner Occupier'!$D$40,0,0)</f>
        <v>1351.7887945174898</v>
      </c>
      <c r="D130" s="4">
        <f t="shared" si="3"/>
        <v>2402.0458219525217</v>
      </c>
      <c r="E130" s="3">
        <f t="shared" si="4"/>
        <v>380631.28495397384</v>
      </c>
      <c r="F130" s="4">
        <f>('Owner Occupier'!$H$24-'Owner Occupier'!$D$52)/('Owner Occupier'!$D$56-'Owner Occupier'!$D$52)*B130</f>
        <v>486.60844356962957</v>
      </c>
      <c r="G130" s="4">
        <f t="shared" si="5"/>
        <v>49876.308965724085</v>
      </c>
    </row>
    <row r="131" spans="1:7" x14ac:dyDescent="0.25">
      <c r="A131">
        <v>128</v>
      </c>
      <c r="B131" s="4">
        <f>-PPMT('Owner Occupier'!$D$41/12,'FHA Amotization'!$A131,360,'Owner Occupier'!$D$40,0,0)</f>
        <v>1053.9766877405307</v>
      </c>
      <c r="C131" s="4">
        <f>-IPMT('Owner Occupier'!$D$41/12,'FHA Amotization'!$A131,360,'Owner Occupier'!$D$40,0,0)</f>
        <v>1348.0691342119912</v>
      </c>
      <c r="D131" s="4">
        <f t="shared" si="3"/>
        <v>2402.0458219525217</v>
      </c>
      <c r="E131" s="3">
        <f t="shared" si="4"/>
        <v>379577.3082662333</v>
      </c>
      <c r="F131" s="4">
        <f>('Owner Occupier'!$H$24-'Owner Occupier'!$D$52)/('Owner Occupier'!$D$56-'Owner Occupier'!$D$52)*B131</f>
        <v>488.33184847393863</v>
      </c>
      <c r="G131" s="4">
        <f t="shared" si="5"/>
        <v>50364.640814198021</v>
      </c>
    </row>
    <row r="132" spans="1:7" x14ac:dyDescent="0.25">
      <c r="A132">
        <v>129</v>
      </c>
      <c r="B132" s="4">
        <f>-PPMT('Owner Occupier'!$D$41/12,'FHA Amotization'!$A132,360,'Owner Occupier'!$D$40,0,0)</f>
        <v>1057.7095218429449</v>
      </c>
      <c r="C132" s="4">
        <f>-IPMT('Owner Occupier'!$D$41/12,'FHA Amotization'!$A132,360,'Owner Occupier'!$D$40,0,0)</f>
        <v>1344.3363001095761</v>
      </c>
      <c r="D132" s="4">
        <f t="shared" si="3"/>
        <v>2402.0458219525208</v>
      </c>
      <c r="E132" s="3">
        <f t="shared" si="4"/>
        <v>378519.59874439036</v>
      </c>
      <c r="F132" s="4">
        <f>('Owner Occupier'!$H$24-'Owner Occupier'!$D$52)/('Owner Occupier'!$D$56-'Owner Occupier'!$D$52)*B132</f>
        <v>490.06135710395046</v>
      </c>
      <c r="G132" s="4">
        <f t="shared" si="5"/>
        <v>50854.702171301971</v>
      </c>
    </row>
    <row r="133" spans="1:7" x14ac:dyDescent="0.25">
      <c r="A133">
        <v>130</v>
      </c>
      <c r="B133" s="4">
        <f>-PPMT('Owner Occupier'!$D$41/12,'FHA Amotization'!$A133,360,'Owner Occupier'!$D$40,0,0)</f>
        <v>1061.4555763994722</v>
      </c>
      <c r="C133" s="4">
        <f>-IPMT('Owner Occupier'!$D$41/12,'FHA Amotization'!$A133,360,'Owner Occupier'!$D$40,0,0)</f>
        <v>1340.5902455530493</v>
      </c>
      <c r="D133" s="4">
        <f t="shared" ref="D133:D196" si="6">B133+C133</f>
        <v>2402.0458219525217</v>
      </c>
      <c r="E133" s="3">
        <f t="shared" si="4"/>
        <v>377458.1431679909</v>
      </c>
      <c r="F133" s="4">
        <f>('Owner Occupier'!$H$24-'Owner Occupier'!$D$52)/('Owner Occupier'!$D$56-'Owner Occupier'!$D$52)*B133</f>
        <v>491.79699107702703</v>
      </c>
      <c r="G133" s="4">
        <f t="shared" si="5"/>
        <v>51346.499162378997</v>
      </c>
    </row>
    <row r="134" spans="1:7" x14ac:dyDescent="0.25">
      <c r="A134">
        <v>131</v>
      </c>
      <c r="B134" s="4">
        <f>-PPMT('Owner Occupier'!$D$41/12,'FHA Amotization'!$A134,360,'Owner Occupier'!$D$40,0,0)</f>
        <v>1065.2148982325534</v>
      </c>
      <c r="C134" s="4">
        <f>-IPMT('Owner Occupier'!$D$41/12,'FHA Amotization'!$A134,360,'Owner Occupier'!$D$40,0,0)</f>
        <v>1336.830923719968</v>
      </c>
      <c r="D134" s="4">
        <f t="shared" si="6"/>
        <v>2402.0458219525217</v>
      </c>
      <c r="E134" s="3">
        <f t="shared" ref="E134:E197" si="7">E133-B134</f>
        <v>376392.92826975835</v>
      </c>
      <c r="F134" s="4">
        <f>('Owner Occupier'!$H$24-'Owner Occupier'!$D$52)/('Owner Occupier'!$D$56-'Owner Occupier'!$D$52)*B134</f>
        <v>493.53877208709139</v>
      </c>
      <c r="G134" s="4">
        <f t="shared" ref="G134:G197" si="8">F134+G133</f>
        <v>51840.037934466091</v>
      </c>
    </row>
    <row r="135" spans="1:7" x14ac:dyDescent="0.25">
      <c r="A135">
        <v>132</v>
      </c>
      <c r="B135" s="4">
        <f>-PPMT('Owner Occupier'!$D$41/12,'FHA Amotization'!$A135,360,'Owner Occupier'!$D$40,0,0)</f>
        <v>1068.9875343304604</v>
      </c>
      <c r="C135" s="4">
        <f>-IPMT('Owner Occupier'!$D$41/12,'FHA Amotization'!$A135,360,'Owner Occupier'!$D$40,0,0)</f>
        <v>1333.0582876220608</v>
      </c>
      <c r="D135" s="4">
        <f t="shared" si="6"/>
        <v>2402.0458219525212</v>
      </c>
      <c r="E135" s="3">
        <f t="shared" si="7"/>
        <v>375323.9407354279</v>
      </c>
      <c r="F135" s="4">
        <f>('Owner Occupier'!$H$24-'Owner Occupier'!$D$52)/('Owner Occupier'!$D$56-'Owner Occupier'!$D$52)*B135</f>
        <v>495.28672190489988</v>
      </c>
      <c r="G135" s="4">
        <f t="shared" si="8"/>
        <v>52335.324656370991</v>
      </c>
    </row>
    <row r="136" spans="1:7" x14ac:dyDescent="0.25">
      <c r="A136">
        <v>133</v>
      </c>
      <c r="B136" s="4">
        <f>-PPMT('Owner Occupier'!$D$41/12,'FHA Amotization'!$A136,360,'Owner Occupier'!$D$40,0,0)</f>
        <v>1072.7735318478808</v>
      </c>
      <c r="C136" s="4">
        <f>-IPMT('Owner Occupier'!$D$41/12,'FHA Amotization'!$A136,360,'Owner Occupier'!$D$40,0,0)</f>
        <v>1329.2722901046407</v>
      </c>
      <c r="D136" s="4">
        <f t="shared" si="6"/>
        <v>2402.0458219525217</v>
      </c>
      <c r="E136" s="3">
        <f t="shared" si="7"/>
        <v>374251.16720358003</v>
      </c>
      <c r="F136" s="4">
        <f>('Owner Occupier'!$H$24-'Owner Occupier'!$D$52)/('Owner Occupier'!$D$56-'Owner Occupier'!$D$52)*B136</f>
        <v>497.04086237831302</v>
      </c>
      <c r="G136" s="4">
        <f t="shared" si="8"/>
        <v>52832.365518749306</v>
      </c>
    </row>
    <row r="137" spans="1:7" x14ac:dyDescent="0.25">
      <c r="A137">
        <v>134</v>
      </c>
      <c r="B137" s="4">
        <f>-PPMT('Owner Occupier'!$D$41/12,'FHA Amotization'!$A137,360,'Owner Occupier'!$D$40,0,0)</f>
        <v>1076.5729381065089</v>
      </c>
      <c r="C137" s="4">
        <f>-IPMT('Owner Occupier'!$D$41/12,'FHA Amotization'!$A137,360,'Owner Occupier'!$D$40,0,0)</f>
        <v>1325.4728838460126</v>
      </c>
      <c r="D137" s="4">
        <f t="shared" si="6"/>
        <v>2402.0458219525217</v>
      </c>
      <c r="E137" s="3">
        <f t="shared" si="7"/>
        <v>373174.59426547354</v>
      </c>
      <c r="F137" s="4">
        <f>('Owner Occupier'!$H$24-'Owner Occupier'!$D$52)/('Owner Occupier'!$D$56-'Owner Occupier'!$D$52)*B137</f>
        <v>498.80121543256962</v>
      </c>
      <c r="G137" s="4">
        <f t="shared" si="8"/>
        <v>53331.166734181876</v>
      </c>
    </row>
    <row r="138" spans="1:7" x14ac:dyDescent="0.25">
      <c r="A138">
        <v>135</v>
      </c>
      <c r="B138" s="4">
        <f>-PPMT('Owner Occupier'!$D$41/12,'FHA Amotization'!$A138,360,'Owner Occupier'!$D$40,0,0)</f>
        <v>1080.3858005956361</v>
      </c>
      <c r="C138" s="4">
        <f>-IPMT('Owner Occupier'!$D$41/12,'FHA Amotization'!$A138,360,'Owner Occupier'!$D$40,0,0)</f>
        <v>1321.6600213568854</v>
      </c>
      <c r="D138" s="4">
        <f t="shared" si="6"/>
        <v>2402.0458219525217</v>
      </c>
      <c r="E138" s="3">
        <f t="shared" si="7"/>
        <v>372094.20846487791</v>
      </c>
      <c r="F138" s="4">
        <f>('Owner Occupier'!$H$24-'Owner Occupier'!$D$52)/('Owner Occupier'!$D$56-'Owner Occupier'!$D$52)*B138</f>
        <v>500.56780307055993</v>
      </c>
      <c r="G138" s="4">
        <f t="shared" si="8"/>
        <v>53831.734537252436</v>
      </c>
    </row>
    <row r="139" spans="1:7" x14ac:dyDescent="0.25">
      <c r="A139">
        <v>136</v>
      </c>
      <c r="B139" s="4">
        <f>-PPMT('Owner Occupier'!$D$41/12,'FHA Amotization'!$A139,360,'Owner Occupier'!$D$40,0,0)</f>
        <v>1084.2121669727455</v>
      </c>
      <c r="C139" s="4">
        <f>-IPMT('Owner Occupier'!$D$41/12,'FHA Amotization'!$A139,360,'Owner Occupier'!$D$40,0,0)</f>
        <v>1317.8336549797759</v>
      </c>
      <c r="D139" s="4">
        <f t="shared" si="6"/>
        <v>2402.0458219525217</v>
      </c>
      <c r="E139" s="3">
        <f t="shared" si="7"/>
        <v>371009.99629790516</v>
      </c>
      <c r="F139" s="4">
        <f>('Owner Occupier'!$H$24-'Owner Occupier'!$D$52)/('Owner Occupier'!$D$56-'Owner Occupier'!$D$52)*B139</f>
        <v>502.34064737310149</v>
      </c>
      <c r="G139" s="4">
        <f t="shared" si="8"/>
        <v>54334.075184625537</v>
      </c>
    </row>
    <row r="140" spans="1:7" x14ac:dyDescent="0.25">
      <c r="A140">
        <v>137</v>
      </c>
      <c r="B140" s="4">
        <f>-PPMT('Owner Occupier'!$D$41/12,'FHA Amotization'!$A140,360,'Owner Occupier'!$D$40,0,0)</f>
        <v>1088.0520850641074</v>
      </c>
      <c r="C140" s="4">
        <f>-IPMT('Owner Occupier'!$D$41/12,'FHA Amotization'!$A140,360,'Owner Occupier'!$D$40,0,0)</f>
        <v>1313.9937368884141</v>
      </c>
      <c r="D140" s="4">
        <f t="shared" si="6"/>
        <v>2402.0458219525217</v>
      </c>
      <c r="E140" s="3">
        <f t="shared" si="7"/>
        <v>369921.94421284104</v>
      </c>
      <c r="F140" s="4">
        <f>('Owner Occupier'!$H$24-'Owner Occupier'!$D$52)/('Owner Occupier'!$D$56-'Owner Occupier'!$D$52)*B140</f>
        <v>504.11977049921455</v>
      </c>
      <c r="G140" s="4">
        <f t="shared" si="8"/>
        <v>54838.194955124753</v>
      </c>
    </row>
    <row r="141" spans="1:7" x14ac:dyDescent="0.25">
      <c r="A141">
        <v>138</v>
      </c>
      <c r="B141" s="4">
        <f>-PPMT('Owner Occupier'!$D$41/12,'FHA Amotization'!$A141,360,'Owner Occupier'!$D$40,0,0)</f>
        <v>1091.9056028653761</v>
      </c>
      <c r="C141" s="4">
        <f>-IPMT('Owner Occupier'!$D$41/12,'FHA Amotization'!$A141,360,'Owner Occupier'!$D$40,0,0)</f>
        <v>1310.1402190871452</v>
      </c>
      <c r="D141" s="4">
        <f t="shared" si="6"/>
        <v>2402.0458219525212</v>
      </c>
      <c r="E141" s="3">
        <f t="shared" si="7"/>
        <v>368830.03860997566</v>
      </c>
      <c r="F141" s="4">
        <f>('Owner Occupier'!$H$24-'Owner Occupier'!$D$52)/('Owner Occupier'!$D$56-'Owner Occupier'!$D$52)*B141</f>
        <v>505.90519468639928</v>
      </c>
      <c r="G141" s="4">
        <f t="shared" si="8"/>
        <v>55344.100149811151</v>
      </c>
    </row>
    <row r="142" spans="1:7" x14ac:dyDescent="0.25">
      <c r="A142">
        <v>139</v>
      </c>
      <c r="B142" s="4">
        <f>-PPMT('Owner Occupier'!$D$41/12,'FHA Amotization'!$A142,360,'Owner Occupier'!$D$40,0,0)</f>
        <v>1095.7727685421908</v>
      </c>
      <c r="C142" s="4">
        <f>-IPMT('Owner Occupier'!$D$41/12,'FHA Amotization'!$A142,360,'Owner Occupier'!$D$40,0,0)</f>
        <v>1306.2730534103302</v>
      </c>
      <c r="D142" s="4">
        <f t="shared" si="6"/>
        <v>2402.0458219525208</v>
      </c>
      <c r="E142" s="3">
        <f t="shared" si="7"/>
        <v>367734.26584143349</v>
      </c>
      <c r="F142" s="4">
        <f>('Owner Occupier'!$H$24-'Owner Occupier'!$D$52)/('Owner Occupier'!$D$56-'Owner Occupier'!$D$52)*B142</f>
        <v>507.69694225091354</v>
      </c>
      <c r="G142" s="4">
        <f t="shared" si="8"/>
        <v>55851.797092062065</v>
      </c>
    </row>
    <row r="143" spans="1:7" x14ac:dyDescent="0.25">
      <c r="A143">
        <v>140</v>
      </c>
      <c r="B143" s="4">
        <f>-PPMT('Owner Occupier'!$D$41/12,'FHA Amotization'!$A143,360,'Owner Occupier'!$D$40,0,0)</f>
        <v>1099.6536304307779</v>
      </c>
      <c r="C143" s="4">
        <f>-IPMT('Owner Occupier'!$D$41/12,'FHA Amotization'!$A143,360,'Owner Occupier'!$D$40,0,0)</f>
        <v>1302.3921915217436</v>
      </c>
      <c r="D143" s="4">
        <f t="shared" si="6"/>
        <v>2402.0458219525217</v>
      </c>
      <c r="E143" s="3">
        <f t="shared" si="7"/>
        <v>366634.61221100274</v>
      </c>
      <c r="F143" s="4">
        <f>('Owner Occupier'!$H$24-'Owner Occupier'!$D$52)/('Owner Occupier'!$D$56-'Owner Occupier'!$D$52)*B143</f>
        <v>509.49503558805225</v>
      </c>
      <c r="G143" s="4">
        <f t="shared" si="8"/>
        <v>56361.292127650115</v>
      </c>
    </row>
    <row r="144" spans="1:7" x14ac:dyDescent="0.25">
      <c r="A144">
        <v>141</v>
      </c>
      <c r="B144" s="4">
        <f>-PPMT('Owner Occupier'!$D$41/12,'FHA Amotization'!$A144,360,'Owner Occupier'!$D$40,0,0)</f>
        <v>1103.5482370385537</v>
      </c>
      <c r="C144" s="4">
        <f>-IPMT('Owner Occupier'!$D$41/12,'FHA Amotization'!$A144,360,'Owner Occupier'!$D$40,0,0)</f>
        <v>1298.4975849139678</v>
      </c>
      <c r="D144" s="4">
        <f t="shared" si="6"/>
        <v>2402.0458219525217</v>
      </c>
      <c r="E144" s="3">
        <f t="shared" si="7"/>
        <v>365531.06397396419</v>
      </c>
      <c r="F144" s="4">
        <f>('Owner Occupier'!$H$24-'Owner Occupier'!$D$52)/('Owner Occupier'!$D$56-'Owner Occupier'!$D$52)*B144</f>
        <v>511.2994971724267</v>
      </c>
      <c r="G144" s="4">
        <f t="shared" si="8"/>
        <v>56872.59162482254</v>
      </c>
    </row>
    <row r="145" spans="1:7" x14ac:dyDescent="0.25">
      <c r="A145">
        <v>142</v>
      </c>
      <c r="B145" s="4">
        <f>-PPMT('Owner Occupier'!$D$41/12,'FHA Amotization'!$A145,360,'Owner Occupier'!$D$40,0,0)</f>
        <v>1107.4566370447317</v>
      </c>
      <c r="C145" s="4">
        <f>-IPMT('Owner Occupier'!$D$41/12,'FHA Amotization'!$A145,360,'Owner Occupier'!$D$40,0,0)</f>
        <v>1294.5891849077898</v>
      </c>
      <c r="D145" s="4">
        <f t="shared" si="6"/>
        <v>2402.0458219525217</v>
      </c>
      <c r="E145" s="3">
        <f t="shared" si="7"/>
        <v>364423.60733691946</v>
      </c>
      <c r="F145" s="4">
        <f>('Owner Occupier'!$H$24-'Owner Occupier'!$D$52)/('Owner Occupier'!$D$56-'Owner Occupier'!$D$52)*B145</f>
        <v>513.11034955824562</v>
      </c>
      <c r="G145" s="4">
        <f t="shared" si="8"/>
        <v>57385.701974380783</v>
      </c>
    </row>
    <row r="146" spans="1:7" x14ac:dyDescent="0.25">
      <c r="A146">
        <v>143</v>
      </c>
      <c r="B146" s="4">
        <f>-PPMT('Owner Occupier'!$D$41/12,'FHA Amotization'!$A146,360,'Owner Occupier'!$D$40,0,0)</f>
        <v>1111.3788793009319</v>
      </c>
      <c r="C146" s="4">
        <f>-IPMT('Owner Occupier'!$D$41/12,'FHA Amotization'!$A146,360,'Owner Occupier'!$D$40,0,0)</f>
        <v>1290.6669426515896</v>
      </c>
      <c r="D146" s="4">
        <f t="shared" si="6"/>
        <v>2402.0458219525217</v>
      </c>
      <c r="E146" s="3">
        <f t="shared" si="7"/>
        <v>363312.2284576185</v>
      </c>
      <c r="F146" s="4">
        <f>('Owner Occupier'!$H$24-'Owner Occupier'!$D$52)/('Owner Occupier'!$D$56-'Owner Occupier'!$D$52)*B146</f>
        <v>514.9276153795978</v>
      </c>
      <c r="G146" s="4">
        <f t="shared" si="8"/>
        <v>57900.629589760378</v>
      </c>
    </row>
    <row r="147" spans="1:7" x14ac:dyDescent="0.25">
      <c r="A147">
        <v>144</v>
      </c>
      <c r="B147" s="4">
        <f>-PPMT('Owner Occupier'!$D$41/12,'FHA Amotization'!$A147,360,'Owner Occupier'!$D$40,0,0)</f>
        <v>1115.3150128317893</v>
      </c>
      <c r="C147" s="4">
        <f>-IPMT('Owner Occupier'!$D$41/12,'FHA Amotization'!$A147,360,'Owner Occupier'!$D$40,0,0)</f>
        <v>1286.7308091207321</v>
      </c>
      <c r="D147" s="4">
        <f t="shared" si="6"/>
        <v>2402.0458219525217</v>
      </c>
      <c r="E147" s="3">
        <f t="shared" si="7"/>
        <v>362196.91344478674</v>
      </c>
      <c r="F147" s="4">
        <f>('Owner Occupier'!$H$24-'Owner Occupier'!$D$52)/('Owner Occupier'!$D$56-'Owner Occupier'!$D$52)*B147</f>
        <v>516.75131735073387</v>
      </c>
      <c r="G147" s="4">
        <f t="shared" si="8"/>
        <v>58417.38090711111</v>
      </c>
    </row>
    <row r="148" spans="1:7" x14ac:dyDescent="0.25">
      <c r="A148">
        <v>145</v>
      </c>
      <c r="B148" s="4">
        <f>-PPMT('Owner Occupier'!$D$41/12,'FHA Amotization'!$A148,360,'Owner Occupier'!$D$40,0,0)</f>
        <v>1119.2650868355686</v>
      </c>
      <c r="C148" s="4">
        <f>-IPMT('Owner Occupier'!$D$41/12,'FHA Amotization'!$A148,360,'Owner Occupier'!$D$40,0,0)</f>
        <v>1282.7807351169527</v>
      </c>
      <c r="D148" s="4">
        <f t="shared" si="6"/>
        <v>2402.0458219525212</v>
      </c>
      <c r="E148" s="3">
        <f t="shared" si="7"/>
        <v>361077.6483579512</v>
      </c>
      <c r="F148" s="4">
        <f>('Owner Occupier'!$H$24-'Owner Occupier'!$D$52)/('Owner Occupier'!$D$56-'Owner Occupier'!$D$52)*B148</f>
        <v>518.58147826635104</v>
      </c>
      <c r="G148" s="4">
        <f t="shared" si="8"/>
        <v>58935.962385377461</v>
      </c>
    </row>
    <row r="149" spans="1:7" x14ac:dyDescent="0.25">
      <c r="A149">
        <v>146</v>
      </c>
      <c r="B149" s="4">
        <f>-PPMT('Owner Occupier'!$D$41/12,'FHA Amotization'!$A149,360,'Owner Occupier'!$D$40,0,0)</f>
        <v>1123.2291506847778</v>
      </c>
      <c r="C149" s="4">
        <f>-IPMT('Owner Occupier'!$D$41/12,'FHA Amotization'!$A149,360,'Owner Occupier'!$D$40,0,0)</f>
        <v>1278.8166712677437</v>
      </c>
      <c r="D149" s="4">
        <f t="shared" si="6"/>
        <v>2402.0458219525217</v>
      </c>
      <c r="E149" s="3">
        <f t="shared" si="7"/>
        <v>359954.41920726642</v>
      </c>
      <c r="F149" s="4">
        <f>('Owner Occupier'!$H$24-'Owner Occupier'!$D$52)/('Owner Occupier'!$D$56-'Owner Occupier'!$D$52)*B149</f>
        <v>520.41812100187758</v>
      </c>
      <c r="G149" s="4">
        <f t="shared" si="8"/>
        <v>59456.380506379341</v>
      </c>
    </row>
    <row r="150" spans="1:7" x14ac:dyDescent="0.25">
      <c r="A150">
        <v>147</v>
      </c>
      <c r="B150" s="4">
        <f>-PPMT('Owner Occupier'!$D$41/12,'FHA Amotization'!$A150,360,'Owner Occupier'!$D$40,0,0)</f>
        <v>1127.2072539267865</v>
      </c>
      <c r="C150" s="4">
        <f>-IPMT('Owner Occupier'!$D$41/12,'FHA Amotization'!$A150,360,'Owner Occupier'!$D$40,0,0)</f>
        <v>1274.8385680257352</v>
      </c>
      <c r="D150" s="4">
        <f t="shared" si="6"/>
        <v>2402.0458219525217</v>
      </c>
      <c r="E150" s="3">
        <f t="shared" si="7"/>
        <v>358827.21195333963</v>
      </c>
      <c r="F150" s="4">
        <f>('Owner Occupier'!$H$24-'Owner Occupier'!$D$52)/('Owner Occupier'!$D$56-'Owner Occupier'!$D$52)*B150</f>
        <v>522.26126851375932</v>
      </c>
      <c r="G150" s="4">
        <f t="shared" si="8"/>
        <v>59978.641774893098</v>
      </c>
    </row>
    <row r="151" spans="1:7" x14ac:dyDescent="0.25">
      <c r="A151">
        <v>148</v>
      </c>
      <c r="B151" s="4">
        <f>-PPMT('Owner Occupier'!$D$41/12,'FHA Amotization'!$A151,360,'Owner Occupier'!$D$40,0,0)</f>
        <v>1131.1994462844441</v>
      </c>
      <c r="C151" s="4">
        <f>-IPMT('Owner Occupier'!$D$41/12,'FHA Amotization'!$A151,360,'Owner Occupier'!$D$40,0,0)</f>
        <v>1270.8463756680774</v>
      </c>
      <c r="D151" s="4">
        <f t="shared" si="6"/>
        <v>2402.0458219525217</v>
      </c>
      <c r="E151" s="3">
        <f t="shared" si="7"/>
        <v>357696.01250705519</v>
      </c>
      <c r="F151" s="4">
        <f>('Owner Occupier'!$H$24-'Owner Occupier'!$D$52)/('Owner Occupier'!$D$56-'Owner Occupier'!$D$52)*B151</f>
        <v>524.11094383974569</v>
      </c>
      <c r="G151" s="4">
        <f t="shared" si="8"/>
        <v>60502.752718732845</v>
      </c>
    </row>
    <row r="152" spans="1:7" x14ac:dyDescent="0.25">
      <c r="A152">
        <v>149</v>
      </c>
      <c r="B152" s="4">
        <f>-PPMT('Owner Occupier'!$D$41/12,'FHA Amotization'!$A152,360,'Owner Occupier'!$D$40,0,0)</f>
        <v>1135.2057776567015</v>
      </c>
      <c r="C152" s="4">
        <f>-IPMT('Owner Occupier'!$D$41/12,'FHA Amotization'!$A152,360,'Owner Occupier'!$D$40,0,0)</f>
        <v>1266.8400442958202</v>
      </c>
      <c r="D152" s="4">
        <f t="shared" si="6"/>
        <v>2402.0458219525217</v>
      </c>
      <c r="E152" s="3">
        <f t="shared" si="7"/>
        <v>356560.80672939849</v>
      </c>
      <c r="F152" s="4">
        <f>('Owner Occupier'!$H$24-'Owner Occupier'!$D$52)/('Owner Occupier'!$D$56-'Owner Occupier'!$D$52)*B152</f>
        <v>525.96717009917813</v>
      </c>
      <c r="G152" s="4">
        <f t="shared" si="8"/>
        <v>61028.71988883202</v>
      </c>
    </row>
    <row r="153" spans="1:7" x14ac:dyDescent="0.25">
      <c r="A153">
        <v>150</v>
      </c>
      <c r="B153" s="4">
        <f>-PPMT('Owner Occupier'!$D$41/12,'FHA Amotization'!$A153,360,'Owner Occupier'!$D$40,0,0)</f>
        <v>1139.2262981192355</v>
      </c>
      <c r="C153" s="4">
        <f>-IPMT('Owner Occupier'!$D$41/12,'FHA Amotization'!$A153,360,'Owner Occupier'!$D$40,0,0)</f>
        <v>1262.8195238332858</v>
      </c>
      <c r="D153" s="4">
        <f t="shared" si="6"/>
        <v>2402.0458219525212</v>
      </c>
      <c r="E153" s="3">
        <f t="shared" si="7"/>
        <v>355421.58043127926</v>
      </c>
      <c r="F153" s="4">
        <f>('Owner Occupier'!$H$24-'Owner Occupier'!$D$52)/('Owner Occupier'!$D$56-'Owner Occupier'!$D$52)*B153</f>
        <v>527.82997049327923</v>
      </c>
      <c r="G153" s="4">
        <f t="shared" si="8"/>
        <v>61556.5498593253</v>
      </c>
    </row>
    <row r="154" spans="1:7" x14ac:dyDescent="0.25">
      <c r="A154">
        <v>151</v>
      </c>
      <c r="B154" s="4">
        <f>-PPMT('Owner Occupier'!$D$41/12,'FHA Amotization'!$A154,360,'Owner Occupier'!$D$40,0,0)</f>
        <v>1143.2610579250745</v>
      </c>
      <c r="C154" s="4">
        <f>-IPMT('Owner Occupier'!$D$41/12,'FHA Amotization'!$A154,360,'Owner Occupier'!$D$40,0,0)</f>
        <v>1258.784764027447</v>
      </c>
      <c r="D154" s="4">
        <f t="shared" si="6"/>
        <v>2402.0458219525217</v>
      </c>
      <c r="E154" s="3">
        <f t="shared" si="7"/>
        <v>354278.3193733542</v>
      </c>
      <c r="F154" s="4">
        <f>('Owner Occupier'!$H$24-'Owner Occupier'!$D$52)/('Owner Occupier'!$D$56-'Owner Occupier'!$D$52)*B154</f>
        <v>529.69936830544304</v>
      </c>
      <c r="G154" s="4">
        <f t="shared" si="8"/>
        <v>62086.249227630746</v>
      </c>
    </row>
    <row r="155" spans="1:7" x14ac:dyDescent="0.25">
      <c r="A155">
        <v>152</v>
      </c>
      <c r="B155" s="4">
        <f>-PPMT('Owner Occupier'!$D$41/12,'FHA Amotization'!$A155,360,'Owner Occupier'!$D$40,0,0)</f>
        <v>1147.3101075052257</v>
      </c>
      <c r="C155" s="4">
        <f>-IPMT('Owner Occupier'!$D$41/12,'FHA Amotization'!$A155,360,'Owner Occupier'!$D$40,0,0)</f>
        <v>1254.7357144472958</v>
      </c>
      <c r="D155" s="4">
        <f t="shared" si="6"/>
        <v>2402.0458219525217</v>
      </c>
      <c r="E155" s="3">
        <f t="shared" si="7"/>
        <v>353131.00926584896</v>
      </c>
      <c r="F155" s="4">
        <f>('Owner Occupier'!$H$24-'Owner Occupier'!$D$52)/('Owner Occupier'!$D$56-'Owner Occupier'!$D$52)*B155</f>
        <v>531.57538690152478</v>
      </c>
      <c r="G155" s="4">
        <f t="shared" si="8"/>
        <v>62617.82461453227</v>
      </c>
    </row>
    <row r="156" spans="1:7" x14ac:dyDescent="0.25">
      <c r="A156">
        <v>153</v>
      </c>
      <c r="B156" s="4">
        <f>-PPMT('Owner Occupier'!$D$41/12,'FHA Amotization'!$A156,360,'Owner Occupier'!$D$40,0,0)</f>
        <v>1151.3734974693066</v>
      </c>
      <c r="C156" s="4">
        <f>-IPMT('Owner Occupier'!$D$41/12,'FHA Amotization'!$A156,360,'Owner Occupier'!$D$40,0,0)</f>
        <v>1250.6723244832147</v>
      </c>
      <c r="D156" s="4">
        <f t="shared" si="6"/>
        <v>2402.0458219525212</v>
      </c>
      <c r="E156" s="3">
        <f t="shared" si="7"/>
        <v>351979.63576837967</v>
      </c>
      <c r="F156" s="4">
        <f>('Owner Occupier'!$H$24-'Owner Occupier'!$D$52)/('Owner Occupier'!$D$56-'Owner Occupier'!$D$52)*B156</f>
        <v>533.45804973013423</v>
      </c>
      <c r="G156" s="4">
        <f t="shared" si="8"/>
        <v>63151.282664262406</v>
      </c>
    </row>
    <row r="157" spans="1:7" x14ac:dyDescent="0.25">
      <c r="A157">
        <v>154</v>
      </c>
      <c r="B157" s="4">
        <f>-PPMT('Owner Occupier'!$D$41/12,'FHA Amotization'!$A157,360,'Owner Occupier'!$D$40,0,0)</f>
        <v>1155.4512786061773</v>
      </c>
      <c r="C157" s="4">
        <f>-IPMT('Owner Occupier'!$D$41/12,'FHA Amotization'!$A157,360,'Owner Occupier'!$D$40,0,0)</f>
        <v>1246.5945433463442</v>
      </c>
      <c r="D157" s="4">
        <f t="shared" si="6"/>
        <v>2402.0458219525217</v>
      </c>
      <c r="E157" s="3">
        <f t="shared" si="7"/>
        <v>350824.18448977347</v>
      </c>
      <c r="F157" s="4">
        <f>('Owner Occupier'!$H$24-'Owner Occupier'!$D$52)/('Owner Occupier'!$D$56-'Owner Occupier'!$D$52)*B157</f>
        <v>535.34738032292864</v>
      </c>
      <c r="G157" s="4">
        <f t="shared" si="8"/>
        <v>63686.630044585334</v>
      </c>
    </row>
    <row r="158" spans="1:7" x14ac:dyDescent="0.25">
      <c r="A158">
        <v>155</v>
      </c>
      <c r="B158" s="4">
        <f>-PPMT('Owner Occupier'!$D$41/12,'FHA Amotization'!$A158,360,'Owner Occupier'!$D$40,0,0)</f>
        <v>1159.5435018845742</v>
      </c>
      <c r="C158" s="4">
        <f>-IPMT('Owner Occupier'!$D$41/12,'FHA Amotization'!$A158,360,'Owner Occupier'!$D$40,0,0)</f>
        <v>1242.5023200679473</v>
      </c>
      <c r="D158" s="4">
        <f t="shared" si="6"/>
        <v>2402.0458219525217</v>
      </c>
      <c r="E158" s="3">
        <f t="shared" si="7"/>
        <v>349664.64098788891</v>
      </c>
      <c r="F158" s="4">
        <f>('Owner Occupier'!$H$24-'Owner Occupier'!$D$52)/('Owner Occupier'!$D$56-'Owner Occupier'!$D$52)*B158</f>
        <v>537.24340229490565</v>
      </c>
      <c r="G158" s="4">
        <f t="shared" si="8"/>
        <v>64223.873446880243</v>
      </c>
    </row>
    <row r="159" spans="1:7" x14ac:dyDescent="0.25">
      <c r="A159">
        <v>156</v>
      </c>
      <c r="B159" s="4">
        <f>-PPMT('Owner Occupier'!$D$41/12,'FHA Amotization'!$A159,360,'Owner Occupier'!$D$40,0,0)</f>
        <v>1163.6502184537487</v>
      </c>
      <c r="C159" s="4">
        <f>-IPMT('Owner Occupier'!$D$41/12,'FHA Amotization'!$A159,360,'Owner Occupier'!$D$40,0,0)</f>
        <v>1238.3956034987725</v>
      </c>
      <c r="D159" s="4">
        <f t="shared" si="6"/>
        <v>2402.0458219525212</v>
      </c>
      <c r="E159" s="3">
        <f t="shared" si="7"/>
        <v>348500.99076943519</v>
      </c>
      <c r="F159" s="4">
        <f>('Owner Occupier'!$H$24-'Owner Occupier'!$D$52)/('Owner Occupier'!$D$56-'Owner Occupier'!$D$52)*B159</f>
        <v>539.14613934470015</v>
      </c>
      <c r="G159" s="4">
        <f t="shared" si="8"/>
        <v>64763.019586224946</v>
      </c>
    </row>
    <row r="160" spans="1:7" x14ac:dyDescent="0.25">
      <c r="A160">
        <v>157</v>
      </c>
      <c r="B160" s="4">
        <f>-PPMT('Owner Occupier'!$D$41/12,'FHA Amotization'!$A160,360,'Owner Occupier'!$D$40,0,0)</f>
        <v>1167.7714796441057</v>
      </c>
      <c r="C160" s="4">
        <f>-IPMT('Owner Occupier'!$D$41/12,'FHA Amotization'!$A160,360,'Owner Occupier'!$D$40,0,0)</f>
        <v>1234.2743423084157</v>
      </c>
      <c r="D160" s="4">
        <f t="shared" si="6"/>
        <v>2402.0458219525217</v>
      </c>
      <c r="E160" s="3">
        <f t="shared" si="7"/>
        <v>347333.21928979107</v>
      </c>
      <c r="F160" s="4">
        <f>('Owner Occupier'!$H$24-'Owner Occupier'!$D$52)/('Owner Occupier'!$D$56-'Owner Occupier'!$D$52)*B160</f>
        <v>541.05561525487929</v>
      </c>
      <c r="G160" s="4">
        <f t="shared" si="8"/>
        <v>65304.075201479827</v>
      </c>
    </row>
    <row r="161" spans="1:7" x14ac:dyDescent="0.25">
      <c r="A161">
        <v>158</v>
      </c>
      <c r="B161" s="4">
        <f>-PPMT('Owner Occupier'!$D$41/12,'FHA Amotization'!$A161,360,'Owner Occupier'!$D$40,0,0)</f>
        <v>1171.9073369678451</v>
      </c>
      <c r="C161" s="4">
        <f>-IPMT('Owner Occupier'!$D$41/12,'FHA Amotization'!$A161,360,'Owner Occupier'!$D$40,0,0)</f>
        <v>1230.1384849846761</v>
      </c>
      <c r="D161" s="4">
        <f t="shared" si="6"/>
        <v>2402.0458219525212</v>
      </c>
      <c r="E161" s="3">
        <f t="shared" si="7"/>
        <v>346161.31195282325</v>
      </c>
      <c r="F161" s="4">
        <f>('Owner Occupier'!$H$24-'Owner Occupier'!$D$52)/('Owner Occupier'!$D$56-'Owner Occupier'!$D$52)*B161</f>
        <v>542.97185389224023</v>
      </c>
      <c r="G161" s="4">
        <f t="shared" si="8"/>
        <v>65847.047055372066</v>
      </c>
    </row>
    <row r="162" spans="1:7" x14ac:dyDescent="0.25">
      <c r="A162">
        <v>159</v>
      </c>
      <c r="B162" s="4">
        <f>-PPMT('Owner Occupier'!$D$41/12,'FHA Amotization'!$A162,360,'Owner Occupier'!$D$40,0,0)</f>
        <v>1176.0578421196062</v>
      </c>
      <c r="C162" s="4">
        <f>-IPMT('Owner Occupier'!$D$41/12,'FHA Amotization'!$A162,360,'Owner Occupier'!$D$40,0,0)</f>
        <v>1225.9879798329152</v>
      </c>
      <c r="D162" s="4">
        <f t="shared" si="6"/>
        <v>2402.0458219525217</v>
      </c>
      <c r="E162" s="3">
        <f t="shared" si="7"/>
        <v>344985.25411070365</v>
      </c>
      <c r="F162" s="4">
        <f>('Owner Occupier'!$H$24-'Owner Occupier'!$D$52)/('Owner Occupier'!$D$56-'Owner Occupier'!$D$52)*B162</f>
        <v>544.89487920810859</v>
      </c>
      <c r="G162" s="4">
        <f t="shared" si="8"/>
        <v>66391.941934580173</v>
      </c>
    </row>
    <row r="163" spans="1:7" x14ac:dyDescent="0.25">
      <c r="A163">
        <v>160</v>
      </c>
      <c r="B163" s="4">
        <f>-PPMT('Owner Occupier'!$D$41/12,'FHA Amotization'!$A163,360,'Owner Occupier'!$D$40,0,0)</f>
        <v>1180.2230469771134</v>
      </c>
      <c r="C163" s="4">
        <f>-IPMT('Owner Occupier'!$D$41/12,'FHA Amotization'!$A163,360,'Owner Occupier'!$D$40,0,0)</f>
        <v>1221.822774975408</v>
      </c>
      <c r="D163" s="4">
        <f t="shared" si="6"/>
        <v>2402.0458219525217</v>
      </c>
      <c r="E163" s="3">
        <f t="shared" si="7"/>
        <v>343805.03106372652</v>
      </c>
      <c r="F163" s="4">
        <f>('Owner Occupier'!$H$24-'Owner Occupier'!$D$52)/('Owner Occupier'!$D$56-'Owner Occupier'!$D$52)*B163</f>
        <v>546.8247152386374</v>
      </c>
      <c r="G163" s="4">
        <f t="shared" si="8"/>
        <v>66938.766649818805</v>
      </c>
    </row>
    <row r="164" spans="1:7" x14ac:dyDescent="0.25">
      <c r="A164">
        <v>161</v>
      </c>
      <c r="B164" s="4">
        <f>-PPMT('Owner Occupier'!$D$41/12,'FHA Amotization'!$A164,360,'Owner Occupier'!$D$40,0,0)</f>
        <v>1184.4030036018239</v>
      </c>
      <c r="C164" s="4">
        <f>-IPMT('Owner Occupier'!$D$41/12,'FHA Amotization'!$A164,360,'Owner Occupier'!$D$40,0,0)</f>
        <v>1217.6428183506976</v>
      </c>
      <c r="D164" s="4">
        <f t="shared" si="6"/>
        <v>2402.0458219525217</v>
      </c>
      <c r="E164" s="3">
        <f t="shared" si="7"/>
        <v>342620.6280601247</v>
      </c>
      <c r="F164" s="4">
        <f>('Owner Occupier'!$H$24-'Owner Occupier'!$D$52)/('Owner Occupier'!$D$56-'Owner Occupier'!$D$52)*B164</f>
        <v>548.76138610510748</v>
      </c>
      <c r="G164" s="4">
        <f t="shared" si="8"/>
        <v>67487.528035923911</v>
      </c>
    </row>
    <row r="165" spans="1:7" x14ac:dyDescent="0.25">
      <c r="A165">
        <v>162</v>
      </c>
      <c r="B165" s="4">
        <f>-PPMT('Owner Occupier'!$D$41/12,'FHA Amotization'!$A165,360,'Owner Occupier'!$D$40,0,0)</f>
        <v>1188.5977642395803</v>
      </c>
      <c r="C165" s="4">
        <f>-IPMT('Owner Occupier'!$D$41/12,'FHA Amotization'!$A165,360,'Owner Occupier'!$D$40,0,0)</f>
        <v>1213.4480577129409</v>
      </c>
      <c r="D165" s="4">
        <f t="shared" si="6"/>
        <v>2402.0458219525212</v>
      </c>
      <c r="E165" s="3">
        <f t="shared" si="7"/>
        <v>341432.03029588511</v>
      </c>
      <c r="F165" s="4">
        <f>('Owner Occupier'!$H$24-'Owner Occupier'!$D$52)/('Owner Occupier'!$D$56-'Owner Occupier'!$D$52)*B165</f>
        <v>550.70491601422975</v>
      </c>
      <c r="G165" s="4">
        <f t="shared" si="8"/>
        <v>68038.232951938146</v>
      </c>
    </row>
    <row r="166" spans="1:7" x14ac:dyDescent="0.25">
      <c r="A166">
        <v>163</v>
      </c>
      <c r="B166" s="4">
        <f>-PPMT('Owner Occupier'!$D$41/12,'FHA Amotization'!$A166,360,'Owner Occupier'!$D$40,0,0)</f>
        <v>1192.8073813212623</v>
      </c>
      <c r="C166" s="4">
        <f>-IPMT('Owner Occupier'!$D$41/12,'FHA Amotization'!$A166,360,'Owner Occupier'!$D$40,0,0)</f>
        <v>1209.238440631259</v>
      </c>
      <c r="D166" s="4">
        <f t="shared" si="6"/>
        <v>2402.0458219525212</v>
      </c>
      <c r="E166" s="3">
        <f t="shared" si="7"/>
        <v>340239.22291456384</v>
      </c>
      <c r="F166" s="4">
        <f>('Owner Occupier'!$H$24-'Owner Occupier'!$D$52)/('Owner Occupier'!$D$56-'Owner Occupier'!$D$52)*B166</f>
        <v>552.65532925844684</v>
      </c>
      <c r="G166" s="4">
        <f t="shared" si="8"/>
        <v>68590.888281196589</v>
      </c>
    </row>
    <row r="167" spans="1:7" x14ac:dyDescent="0.25">
      <c r="A167">
        <v>164</v>
      </c>
      <c r="B167" s="4">
        <f>-PPMT('Owner Occupier'!$D$41/12,'FHA Amotization'!$A167,360,'Owner Occupier'!$D$40,0,0)</f>
        <v>1197.0319074634417</v>
      </c>
      <c r="C167" s="4">
        <f>-IPMT('Owner Occupier'!$D$41/12,'FHA Amotization'!$A167,360,'Owner Occupier'!$D$40,0,0)</f>
        <v>1205.0139144890798</v>
      </c>
      <c r="D167" s="4">
        <f t="shared" si="6"/>
        <v>2402.0458219525217</v>
      </c>
      <c r="E167" s="3">
        <f t="shared" si="7"/>
        <v>339042.19100710039</v>
      </c>
      <c r="F167" s="4">
        <f>('Owner Occupier'!$H$24-'Owner Occupier'!$D$52)/('Owner Occupier'!$D$56-'Owner Occupier'!$D$52)*B167</f>
        <v>554.61265021623717</v>
      </c>
      <c r="G167" s="4">
        <f t="shared" si="8"/>
        <v>69145.500931412826</v>
      </c>
    </row>
    <row r="168" spans="1:7" x14ac:dyDescent="0.25">
      <c r="A168">
        <v>165</v>
      </c>
      <c r="B168" s="4">
        <f>-PPMT('Owner Occupier'!$D$41/12,'FHA Amotization'!$A168,360,'Owner Occupier'!$D$40,0,0)</f>
        <v>1201.2713954690414</v>
      </c>
      <c r="C168" s="4">
        <f>-IPMT('Owner Occupier'!$D$41/12,'FHA Amotization'!$A168,360,'Owner Occupier'!$D$40,0,0)</f>
        <v>1200.7744264834801</v>
      </c>
      <c r="D168" s="4">
        <f t="shared" si="6"/>
        <v>2402.0458219525217</v>
      </c>
      <c r="E168" s="3">
        <f t="shared" si="7"/>
        <v>337840.91961163137</v>
      </c>
      <c r="F168" s="4">
        <f>('Owner Occupier'!$H$24-'Owner Occupier'!$D$52)/('Owner Occupier'!$D$56-'Owner Occupier'!$D$52)*B168</f>
        <v>556.57690335241966</v>
      </c>
      <c r="G168" s="4">
        <f t="shared" si="8"/>
        <v>69702.077834765252</v>
      </c>
    </row>
    <row r="169" spans="1:7" x14ac:dyDescent="0.25">
      <c r="A169">
        <v>166</v>
      </c>
      <c r="B169" s="4">
        <f>-PPMT('Owner Occupier'!$D$41/12,'FHA Amotization'!$A169,360,'Owner Occupier'!$D$40,0,0)</f>
        <v>1205.5258983279944</v>
      </c>
      <c r="C169" s="4">
        <f>-IPMT('Owner Occupier'!$D$41/12,'FHA Amotization'!$A169,360,'Owner Occupier'!$D$40,0,0)</f>
        <v>1196.5199236245273</v>
      </c>
      <c r="D169" s="4">
        <f t="shared" si="6"/>
        <v>2402.0458219525217</v>
      </c>
      <c r="E169" s="3">
        <f t="shared" si="7"/>
        <v>336635.39371330338</v>
      </c>
      <c r="F169" s="4">
        <f>('Owner Occupier'!$H$24-'Owner Occupier'!$D$52)/('Owner Occupier'!$D$56-'Owner Occupier'!$D$52)*B169</f>
        <v>558.54811321845955</v>
      </c>
      <c r="G169" s="4">
        <f t="shared" si="8"/>
        <v>70260.625947983717</v>
      </c>
    </row>
    <row r="170" spans="1:7" x14ac:dyDescent="0.25">
      <c r="A170">
        <v>167</v>
      </c>
      <c r="B170" s="4">
        <f>-PPMT('Owner Occupier'!$D$41/12,'FHA Amotization'!$A170,360,'Owner Occupier'!$D$40,0,0)</f>
        <v>1209.7954692179057</v>
      </c>
      <c r="C170" s="4">
        <f>-IPMT('Owner Occupier'!$D$41/12,'FHA Amotization'!$A170,360,'Owner Occupier'!$D$40,0,0)</f>
        <v>1192.2503527346155</v>
      </c>
      <c r="D170" s="4">
        <f t="shared" si="6"/>
        <v>2402.0458219525212</v>
      </c>
      <c r="E170" s="3">
        <f t="shared" si="7"/>
        <v>335425.59824408544</v>
      </c>
      <c r="F170" s="4">
        <f>('Owner Occupier'!$H$24-'Owner Occupier'!$D$52)/('Owner Occupier'!$D$56-'Owner Occupier'!$D$52)*B170</f>
        <v>560.52630445277475</v>
      </c>
      <c r="G170" s="4">
        <f t="shared" si="8"/>
        <v>70821.152252436499</v>
      </c>
    </row>
    <row r="171" spans="1:7" x14ac:dyDescent="0.25">
      <c r="A171">
        <v>168</v>
      </c>
      <c r="B171" s="4">
        <f>-PPMT('Owner Occupier'!$D$41/12,'FHA Amotization'!$A171,360,'Owner Occupier'!$D$40,0,0)</f>
        <v>1214.0801615047192</v>
      </c>
      <c r="C171" s="4">
        <f>-IPMT('Owner Occupier'!$D$41/12,'FHA Amotization'!$A171,360,'Owner Occupier'!$D$40,0,0)</f>
        <v>1187.9656604478018</v>
      </c>
      <c r="D171" s="4">
        <f t="shared" si="6"/>
        <v>2402.0458219525208</v>
      </c>
      <c r="E171" s="3">
        <f t="shared" si="7"/>
        <v>334211.5180825807</v>
      </c>
      <c r="F171" s="4">
        <f>('Owner Occupier'!$H$24-'Owner Occupier'!$D$52)/('Owner Occupier'!$D$56-'Owner Occupier'!$D$52)*B171</f>
        <v>562.51150178104501</v>
      </c>
      <c r="G171" s="4">
        <f t="shared" si="8"/>
        <v>71383.663754217545</v>
      </c>
    </row>
    <row r="172" spans="1:7" x14ac:dyDescent="0.25">
      <c r="A172">
        <v>169</v>
      </c>
      <c r="B172" s="4">
        <f>-PPMT('Owner Occupier'!$D$41/12,'FHA Amotization'!$A172,360,'Owner Occupier'!$D$40,0,0)</f>
        <v>1218.3800287433819</v>
      </c>
      <c r="C172" s="4">
        <f>-IPMT('Owner Occupier'!$D$41/12,'FHA Amotization'!$A172,360,'Owner Occupier'!$D$40,0,0)</f>
        <v>1183.6657932091396</v>
      </c>
      <c r="D172" s="4">
        <f t="shared" si="6"/>
        <v>2402.0458219525217</v>
      </c>
      <c r="E172" s="3">
        <f t="shared" si="7"/>
        <v>332993.13805383735</v>
      </c>
      <c r="F172" s="4">
        <f>('Owner Occupier'!$H$24-'Owner Occupier'!$D$52)/('Owner Occupier'!$D$56-'Owner Occupier'!$D$52)*B172</f>
        <v>564.50373001651963</v>
      </c>
      <c r="G172" s="4">
        <f t="shared" si="8"/>
        <v>71948.167484234058</v>
      </c>
    </row>
    <row r="173" spans="1:7" x14ac:dyDescent="0.25">
      <c r="A173">
        <v>170</v>
      </c>
      <c r="B173" s="4">
        <f>-PPMT('Owner Occupier'!$D$41/12,'FHA Amotization'!$A173,360,'Owner Occupier'!$D$40,0,0)</f>
        <v>1222.6951246785145</v>
      </c>
      <c r="C173" s="4">
        <f>-IPMT('Owner Occupier'!$D$41/12,'FHA Amotization'!$A173,360,'Owner Occupier'!$D$40,0,0)</f>
        <v>1179.3506972740065</v>
      </c>
      <c r="D173" s="4">
        <f t="shared" si="6"/>
        <v>2402.0458219525208</v>
      </c>
      <c r="E173" s="3">
        <f t="shared" si="7"/>
        <v>331770.44292915886</v>
      </c>
      <c r="F173" s="4">
        <f>('Owner Occupier'!$H$24-'Owner Occupier'!$D$52)/('Owner Occupier'!$D$56-'Owner Occupier'!$D$52)*B173</f>
        <v>566.50301406032804</v>
      </c>
      <c r="G173" s="4">
        <f t="shared" si="8"/>
        <v>72514.670498294392</v>
      </c>
    </row>
    <row r="174" spans="1:7" x14ac:dyDescent="0.25">
      <c r="A174">
        <v>171</v>
      </c>
      <c r="B174" s="4">
        <f>-PPMT('Owner Occupier'!$D$41/12,'FHA Amotization'!$A174,360,'Owner Occupier'!$D$40,0,0)</f>
        <v>1227.0255032450843</v>
      </c>
      <c r="C174" s="4">
        <f>-IPMT('Owner Occupier'!$D$41/12,'FHA Amotization'!$A174,360,'Owner Occupier'!$D$40,0,0)</f>
        <v>1175.0203187074371</v>
      </c>
      <c r="D174" s="4">
        <f t="shared" si="6"/>
        <v>2402.0458219525217</v>
      </c>
      <c r="E174" s="3">
        <f t="shared" si="7"/>
        <v>330543.41742591379</v>
      </c>
      <c r="F174" s="4">
        <f>('Owner Occupier'!$H$24-'Owner Occupier'!$D$52)/('Owner Occupier'!$D$56-'Owner Occupier'!$D$52)*B174</f>
        <v>568.50937890179182</v>
      </c>
      <c r="G174" s="4">
        <f t="shared" si="8"/>
        <v>73083.179877196177</v>
      </c>
    </row>
    <row r="175" spans="1:7" x14ac:dyDescent="0.25">
      <c r="A175">
        <v>172</v>
      </c>
      <c r="B175" s="4">
        <f>-PPMT('Owner Occupier'!$D$41/12,'FHA Amotization'!$A175,360,'Owner Occupier'!$D$40,0,0)</f>
        <v>1231.3712185690772</v>
      </c>
      <c r="C175" s="4">
        <f>-IPMT('Owner Occupier'!$D$41/12,'FHA Amotization'!$A175,360,'Owner Occupier'!$D$40,0,0)</f>
        <v>1170.6746033834443</v>
      </c>
      <c r="D175" s="4">
        <f t="shared" si="6"/>
        <v>2402.0458219525217</v>
      </c>
      <c r="E175" s="3">
        <f t="shared" si="7"/>
        <v>329312.04620734474</v>
      </c>
      <c r="F175" s="4">
        <f>('Owner Occupier'!$H$24-'Owner Occupier'!$D$52)/('Owner Occupier'!$D$56-'Owner Occupier'!$D$52)*B175</f>
        <v>570.52284961873556</v>
      </c>
      <c r="G175" s="4">
        <f t="shared" si="8"/>
        <v>73653.70272681491</v>
      </c>
    </row>
    <row r="176" spans="1:7" x14ac:dyDescent="0.25">
      <c r="A176">
        <v>173</v>
      </c>
      <c r="B176" s="4">
        <f>-PPMT('Owner Occupier'!$D$41/12,'FHA Amotization'!$A176,360,'Owner Occupier'!$D$40,0,0)</f>
        <v>1235.7323249681763</v>
      </c>
      <c r="C176" s="4">
        <f>-IPMT('Owner Occupier'!$D$41/12,'FHA Amotization'!$A176,360,'Owner Occupier'!$D$40,0,0)</f>
        <v>1166.3134969843452</v>
      </c>
      <c r="D176" s="4">
        <f t="shared" si="6"/>
        <v>2402.0458219525217</v>
      </c>
      <c r="E176" s="3">
        <f t="shared" si="7"/>
        <v>328076.31388237659</v>
      </c>
      <c r="F176" s="4">
        <f>('Owner Occupier'!$H$24-'Owner Occupier'!$D$52)/('Owner Occupier'!$D$56-'Owner Occupier'!$D$52)*B176</f>
        <v>572.54345137780206</v>
      </c>
      <c r="G176" s="4">
        <f t="shared" si="8"/>
        <v>74226.246178192712</v>
      </c>
    </row>
    <row r="177" spans="1:7" x14ac:dyDescent="0.25">
      <c r="A177">
        <v>174</v>
      </c>
      <c r="B177" s="4">
        <f>-PPMT('Owner Occupier'!$D$41/12,'FHA Amotization'!$A177,360,'Owner Occupier'!$D$40,0,0)</f>
        <v>1240.1088769524385</v>
      </c>
      <c r="C177" s="4">
        <f>-IPMT('Owner Occupier'!$D$41/12,'FHA Amotization'!$A177,360,'Owner Occupier'!$D$40,0,0)</f>
        <v>1161.9369450000829</v>
      </c>
      <c r="D177" s="4">
        <f t="shared" si="6"/>
        <v>2402.0458219525217</v>
      </c>
      <c r="E177" s="3">
        <f t="shared" si="7"/>
        <v>326836.20500542416</v>
      </c>
      <c r="F177" s="4">
        <f>('Owner Occupier'!$H$24-'Owner Occupier'!$D$52)/('Owner Occupier'!$D$56-'Owner Occupier'!$D$52)*B177</f>
        <v>574.57120943476502</v>
      </c>
      <c r="G177" s="4">
        <f t="shared" si="8"/>
        <v>74800.817387627481</v>
      </c>
    </row>
    <row r="178" spans="1:7" x14ac:dyDescent="0.25">
      <c r="A178">
        <v>175</v>
      </c>
      <c r="B178" s="4">
        <f>-PPMT('Owner Occupier'!$D$41/12,'FHA Amotization'!$A178,360,'Owner Occupier'!$D$40,0,0)</f>
        <v>1244.5009292249786</v>
      </c>
      <c r="C178" s="4">
        <f>-IPMT('Owner Occupier'!$D$41/12,'FHA Amotization'!$A178,360,'Owner Occupier'!$D$40,0,0)</f>
        <v>1157.5448927275431</v>
      </c>
      <c r="D178" s="4">
        <f t="shared" si="6"/>
        <v>2402.0458219525217</v>
      </c>
      <c r="E178" s="3">
        <f t="shared" si="7"/>
        <v>325591.70407619915</v>
      </c>
      <c r="F178" s="4">
        <f>('Owner Occupier'!$H$24-'Owner Occupier'!$D$52)/('Owner Occupier'!$D$56-'Owner Occupier'!$D$52)*B178</f>
        <v>576.60614913484653</v>
      </c>
      <c r="G178" s="4">
        <f t="shared" si="8"/>
        <v>75377.423536762333</v>
      </c>
    </row>
    <row r="179" spans="1:7" x14ac:dyDescent="0.25">
      <c r="A179">
        <v>176</v>
      </c>
      <c r="B179" s="4">
        <f>-PPMT('Owner Occupier'!$D$41/12,'FHA Amotization'!$A179,360,'Owner Occupier'!$D$40,0,0)</f>
        <v>1248.90853668265</v>
      </c>
      <c r="C179" s="4">
        <f>-IPMT('Owner Occupier'!$D$41/12,'FHA Amotization'!$A179,360,'Owner Occupier'!$D$40,0,0)</f>
        <v>1153.1372852698712</v>
      </c>
      <c r="D179" s="4">
        <f t="shared" si="6"/>
        <v>2402.0458219525212</v>
      </c>
      <c r="E179" s="3">
        <f t="shared" si="7"/>
        <v>324342.79553951649</v>
      </c>
      <c r="F179" s="4">
        <f>('Owner Occupier'!$H$24-'Owner Occupier'!$D$52)/('Owner Occupier'!$D$56-'Owner Occupier'!$D$52)*B179</f>
        <v>578.64829591303237</v>
      </c>
      <c r="G179" s="4">
        <f t="shared" si="8"/>
        <v>75956.07183267537</v>
      </c>
    </row>
    <row r="180" spans="1:7" x14ac:dyDescent="0.25">
      <c r="A180">
        <v>177</v>
      </c>
      <c r="B180" s="4">
        <f>-PPMT('Owner Occupier'!$D$41/12,'FHA Amotization'!$A180,360,'Owner Occupier'!$D$40,0,0)</f>
        <v>1253.3317544167344</v>
      </c>
      <c r="C180" s="4">
        <f>-IPMT('Owner Occupier'!$D$41/12,'FHA Amotization'!$A180,360,'Owner Occupier'!$D$40,0,0)</f>
        <v>1148.7140675357869</v>
      </c>
      <c r="D180" s="4">
        <f t="shared" si="6"/>
        <v>2402.0458219525212</v>
      </c>
      <c r="E180" s="3">
        <f t="shared" si="7"/>
        <v>323089.46378509974</v>
      </c>
      <c r="F180" s="4">
        <f>('Owner Occupier'!$H$24-'Owner Occupier'!$D$52)/('Owner Occupier'!$D$56-'Owner Occupier'!$D$52)*B180</f>
        <v>580.69767529439093</v>
      </c>
      <c r="G180" s="4">
        <f t="shared" si="8"/>
        <v>76536.769507969759</v>
      </c>
    </row>
    <row r="181" spans="1:7" x14ac:dyDescent="0.25">
      <c r="A181">
        <v>178</v>
      </c>
      <c r="B181" s="4">
        <f>-PPMT('Owner Occupier'!$D$41/12,'FHA Amotization'!$A181,360,'Owner Occupier'!$D$40,0,0)</f>
        <v>1257.7706377136271</v>
      </c>
      <c r="C181" s="4">
        <f>-IPMT('Owner Occupier'!$D$41/12,'FHA Amotization'!$A181,360,'Owner Occupier'!$D$40,0,0)</f>
        <v>1144.2751842388941</v>
      </c>
      <c r="D181" s="4">
        <f t="shared" si="6"/>
        <v>2402.0458219525212</v>
      </c>
      <c r="E181" s="3">
        <f t="shared" si="7"/>
        <v>321831.69314738613</v>
      </c>
      <c r="F181" s="4">
        <f>('Owner Occupier'!$H$24-'Owner Occupier'!$D$52)/('Owner Occupier'!$D$56-'Owner Occupier'!$D$52)*B181</f>
        <v>582.754312894392</v>
      </c>
      <c r="G181" s="4">
        <f t="shared" si="8"/>
        <v>77119.523820864153</v>
      </c>
    </row>
    <row r="182" spans="1:7" x14ac:dyDescent="0.25">
      <c r="A182">
        <v>179</v>
      </c>
      <c r="B182" s="4">
        <f>-PPMT('Owner Occupier'!$D$41/12,'FHA Amotization'!$A182,360,'Owner Occupier'!$D$40,0,0)</f>
        <v>1262.2252420555296</v>
      </c>
      <c r="C182" s="4">
        <f>-IPMT('Owner Occupier'!$D$41/12,'FHA Amotization'!$A182,360,'Owner Occupier'!$D$40,0,0)</f>
        <v>1139.8205798969916</v>
      </c>
      <c r="D182" s="4">
        <f t="shared" si="6"/>
        <v>2402.0458219525212</v>
      </c>
      <c r="E182" s="3">
        <f t="shared" si="7"/>
        <v>320569.46790533059</v>
      </c>
      <c r="F182" s="4">
        <f>('Owner Occupier'!$H$24-'Owner Occupier'!$D$52)/('Owner Occupier'!$D$56-'Owner Occupier'!$D$52)*B182</f>
        <v>584.81823441922631</v>
      </c>
      <c r="G182" s="4">
        <f t="shared" si="8"/>
        <v>77704.342055283385</v>
      </c>
    </row>
    <row r="183" spans="1:7" x14ac:dyDescent="0.25">
      <c r="A183">
        <v>180</v>
      </c>
      <c r="B183" s="4">
        <f>-PPMT('Owner Occupier'!$D$41/12,'FHA Amotization'!$A183,360,'Owner Occupier'!$D$40,0,0)</f>
        <v>1266.6956231211427</v>
      </c>
      <c r="C183" s="4">
        <f>-IPMT('Owner Occupier'!$D$41/12,'FHA Amotization'!$A183,360,'Owner Occupier'!$D$40,0,0)</f>
        <v>1135.3501988313785</v>
      </c>
      <c r="D183" s="4">
        <f t="shared" si="6"/>
        <v>2402.0458219525212</v>
      </c>
      <c r="E183" s="3">
        <f t="shared" si="7"/>
        <v>319302.77228220942</v>
      </c>
      <c r="F183" s="4">
        <f>('Owner Occupier'!$H$24-'Owner Occupier'!$D$52)/('Owner Occupier'!$D$56-'Owner Occupier'!$D$52)*B183</f>
        <v>586.88946566612765</v>
      </c>
      <c r="G183" s="4">
        <f t="shared" si="8"/>
        <v>78291.231520949514</v>
      </c>
    </row>
    <row r="184" spans="1:7" x14ac:dyDescent="0.25">
      <c r="A184">
        <v>181</v>
      </c>
      <c r="B184" s="4">
        <f>-PPMT('Owner Occupier'!$D$41/12,'FHA Amotization'!$A184,360,'Owner Occupier'!$D$40,0,0)</f>
        <v>1271.1818367863639</v>
      </c>
      <c r="C184" s="4">
        <f>-IPMT('Owner Occupier'!$D$41/12,'FHA Amotization'!$A184,360,'Owner Occupier'!$D$40,0,0)</f>
        <v>1130.8639851661578</v>
      </c>
      <c r="D184" s="4">
        <f t="shared" si="6"/>
        <v>2402.0458219525217</v>
      </c>
      <c r="E184" s="3">
        <f t="shared" si="7"/>
        <v>318031.59044542303</v>
      </c>
      <c r="F184" s="4">
        <f>('Owner Occupier'!$H$24-'Owner Occupier'!$D$52)/('Owner Occupier'!$D$56-'Owner Occupier'!$D$52)*B184</f>
        <v>588.96803252369546</v>
      </c>
      <c r="G184" s="4">
        <f t="shared" si="8"/>
        <v>78880.199553473212</v>
      </c>
    </row>
    <row r="185" spans="1:7" x14ac:dyDescent="0.25">
      <c r="A185">
        <v>182</v>
      </c>
      <c r="B185" s="4">
        <f>-PPMT('Owner Occupier'!$D$41/12,'FHA Amotization'!$A185,360,'Owner Occupier'!$D$40,0,0)</f>
        <v>1275.6839391249819</v>
      </c>
      <c r="C185" s="4">
        <f>-IPMT('Owner Occupier'!$D$41/12,'FHA Amotization'!$A185,360,'Owner Occupier'!$D$40,0,0)</f>
        <v>1126.3618828275394</v>
      </c>
      <c r="D185" s="4">
        <f t="shared" si="6"/>
        <v>2402.0458219525212</v>
      </c>
      <c r="E185" s="3">
        <f t="shared" si="7"/>
        <v>316755.90650629805</v>
      </c>
      <c r="F185" s="4">
        <f>('Owner Occupier'!$H$24-'Owner Occupier'!$D$52)/('Owner Occupier'!$D$56-'Owner Occupier'!$D$52)*B185</f>
        <v>591.05396097221671</v>
      </c>
      <c r="G185" s="4">
        <f t="shared" si="8"/>
        <v>79471.25351444543</v>
      </c>
    </row>
    <row r="186" spans="1:7" x14ac:dyDescent="0.25">
      <c r="A186">
        <v>183</v>
      </c>
      <c r="B186" s="4">
        <f>-PPMT('Owner Occupier'!$D$41/12,'FHA Amotization'!$A186,360,'Owner Occupier'!$D$40,0,0)</f>
        <v>1280.2019864093829</v>
      </c>
      <c r="C186" s="4">
        <f>-IPMT('Owner Occupier'!$D$41/12,'FHA Amotization'!$A186,360,'Owner Occupier'!$D$40,0,0)</f>
        <v>1121.8438355431383</v>
      </c>
      <c r="D186" s="4">
        <f t="shared" si="6"/>
        <v>2402.0458219525212</v>
      </c>
      <c r="E186" s="3">
        <f t="shared" si="7"/>
        <v>315475.70451988868</v>
      </c>
      <c r="F186" s="4">
        <f>('Owner Occupier'!$H$24-'Owner Occupier'!$D$52)/('Owner Occupier'!$D$56-'Owner Occupier'!$D$52)*B186</f>
        <v>593.14727708399334</v>
      </c>
      <c r="G186" s="4">
        <f t="shared" si="8"/>
        <v>80064.400791529421</v>
      </c>
    </row>
    <row r="187" spans="1:7" x14ac:dyDescent="0.25">
      <c r="A187">
        <v>184</v>
      </c>
      <c r="B187" s="4">
        <f>-PPMT('Owner Occupier'!$D$41/12,'FHA Amotization'!$A187,360,'Owner Occupier'!$D$40,0,0)</f>
        <v>1284.7360351112495</v>
      </c>
      <c r="C187" s="4">
        <f>-IPMT('Owner Occupier'!$D$41/12,'FHA Amotization'!$A187,360,'Owner Occupier'!$D$40,0,0)</f>
        <v>1117.3097868412717</v>
      </c>
      <c r="D187" s="4">
        <f t="shared" si="6"/>
        <v>2402.0458219525212</v>
      </c>
      <c r="E187" s="3">
        <f t="shared" si="7"/>
        <v>314190.96848477743</v>
      </c>
      <c r="F187" s="4">
        <f>('Owner Occupier'!$H$24-'Owner Occupier'!$D$52)/('Owner Occupier'!$D$56-'Owner Occupier'!$D$52)*B187</f>
        <v>595.24800702366576</v>
      </c>
      <c r="G187" s="4">
        <f t="shared" si="8"/>
        <v>80659.648798553084</v>
      </c>
    </row>
    <row r="188" spans="1:7" x14ac:dyDescent="0.25">
      <c r="A188">
        <v>185</v>
      </c>
      <c r="B188" s="4">
        <f>-PPMT('Owner Occupier'!$D$41/12,'FHA Amotization'!$A188,360,'Owner Occupier'!$D$40,0,0)</f>
        <v>1289.2861419022686</v>
      </c>
      <c r="C188" s="4">
        <f>-IPMT('Owner Occupier'!$D$41/12,'FHA Amotization'!$A188,360,'Owner Occupier'!$D$40,0,0)</f>
        <v>1112.7596800502529</v>
      </c>
      <c r="D188" s="4">
        <f t="shared" si="6"/>
        <v>2402.0458219525217</v>
      </c>
      <c r="E188" s="3">
        <f t="shared" si="7"/>
        <v>312901.68234287517</v>
      </c>
      <c r="F188" s="4">
        <f>('Owner Occupier'!$H$24-'Owner Occupier'!$D$52)/('Owner Occupier'!$D$56-'Owner Occupier'!$D$52)*B188</f>
        <v>597.35617704854133</v>
      </c>
      <c r="G188" s="4">
        <f t="shared" si="8"/>
        <v>81257.004975601623</v>
      </c>
    </row>
    <row r="189" spans="1:7" x14ac:dyDescent="0.25">
      <c r="A189">
        <v>186</v>
      </c>
      <c r="B189" s="4">
        <f>-PPMT('Owner Occupier'!$D$41/12,'FHA Amotization'!$A189,360,'Owner Occupier'!$D$40,0,0)</f>
        <v>1293.8523636548391</v>
      </c>
      <c r="C189" s="4">
        <f>-IPMT('Owner Occupier'!$D$41/12,'FHA Amotization'!$A189,360,'Owner Occupier'!$D$40,0,0)</f>
        <v>1108.1934582976826</v>
      </c>
      <c r="D189" s="4">
        <f t="shared" si="6"/>
        <v>2402.0458219525217</v>
      </c>
      <c r="E189" s="3">
        <f t="shared" si="7"/>
        <v>311607.82997922035</v>
      </c>
      <c r="F189" s="4">
        <f>('Owner Occupier'!$H$24-'Owner Occupier'!$D$52)/('Owner Occupier'!$D$56-'Owner Occupier'!$D$52)*B189</f>
        <v>599.47181350892151</v>
      </c>
      <c r="G189" s="4">
        <f t="shared" si="8"/>
        <v>81856.476789110544</v>
      </c>
    </row>
    <row r="190" spans="1:7" x14ac:dyDescent="0.25">
      <c r="A190">
        <v>187</v>
      </c>
      <c r="B190" s="4">
        <f>-PPMT('Owner Occupier'!$D$41/12,'FHA Amotization'!$A190,360,'Owner Occupier'!$D$40,0,0)</f>
        <v>1298.4347574427834</v>
      </c>
      <c r="C190" s="4">
        <f>-IPMT('Owner Occupier'!$D$41/12,'FHA Amotization'!$A190,360,'Owner Occupier'!$D$40,0,0)</f>
        <v>1103.6110645097381</v>
      </c>
      <c r="D190" s="4">
        <f t="shared" si="6"/>
        <v>2402.0458219525217</v>
      </c>
      <c r="E190" s="3">
        <f t="shared" si="7"/>
        <v>310309.39522177755</v>
      </c>
      <c r="F190" s="4">
        <f>('Owner Occupier'!$H$24-'Owner Occupier'!$D$52)/('Owner Occupier'!$D$56-'Owner Occupier'!$D$52)*B190</f>
        <v>601.59494284843231</v>
      </c>
      <c r="G190" s="4">
        <f t="shared" si="8"/>
        <v>82458.071731958975</v>
      </c>
    </row>
    <row r="191" spans="1:7" x14ac:dyDescent="0.25">
      <c r="A191">
        <v>188</v>
      </c>
      <c r="B191" s="4">
        <f>-PPMT('Owner Occupier'!$D$41/12,'FHA Amotization'!$A191,360,'Owner Occupier'!$D$40,0,0)</f>
        <v>1303.0333805420598</v>
      </c>
      <c r="C191" s="4">
        <f>-IPMT('Owner Occupier'!$D$41/12,'FHA Amotization'!$A191,360,'Owner Occupier'!$D$40,0,0)</f>
        <v>1099.0124414104616</v>
      </c>
      <c r="D191" s="4">
        <f t="shared" si="6"/>
        <v>2402.0458219525217</v>
      </c>
      <c r="E191" s="3">
        <f t="shared" si="7"/>
        <v>309006.36184123548</v>
      </c>
      <c r="F191" s="4">
        <f>('Owner Occupier'!$H$24-'Owner Occupier'!$D$52)/('Owner Occupier'!$D$56-'Owner Occupier'!$D$52)*B191</f>
        <v>603.72559160435378</v>
      </c>
      <c r="G191" s="4">
        <f t="shared" si="8"/>
        <v>83061.797323563325</v>
      </c>
    </row>
    <row r="192" spans="1:7" x14ac:dyDescent="0.25">
      <c r="A192">
        <v>189</v>
      </c>
      <c r="B192" s="4">
        <f>-PPMT('Owner Occupier'!$D$41/12,'FHA Amotization'!$A192,360,'Owner Occupier'!$D$40,0,0)</f>
        <v>1307.6482904314796</v>
      </c>
      <c r="C192" s="4">
        <f>-IPMT('Owner Occupier'!$D$41/12,'FHA Amotization'!$A192,360,'Owner Occupier'!$D$40,0,0)</f>
        <v>1094.3975315210419</v>
      </c>
      <c r="D192" s="4">
        <f t="shared" si="6"/>
        <v>2402.0458219525217</v>
      </c>
      <c r="E192" s="3">
        <f t="shared" si="7"/>
        <v>307698.71355080401</v>
      </c>
      <c r="F192" s="4">
        <f>('Owner Occupier'!$H$24-'Owner Occupier'!$D$52)/('Owner Occupier'!$D$56-'Owner Occupier'!$D$52)*B192</f>
        <v>605.8637864079526</v>
      </c>
      <c r="G192" s="4">
        <f t="shared" si="8"/>
        <v>83667.661109971275</v>
      </c>
    </row>
    <row r="193" spans="1:7" x14ac:dyDescent="0.25">
      <c r="A193">
        <v>190</v>
      </c>
      <c r="B193" s="4">
        <f>-PPMT('Owner Occupier'!$D$41/12,'FHA Amotization'!$A193,360,'Owner Occupier'!$D$40,0,0)</f>
        <v>1312.2795447934243</v>
      </c>
      <c r="C193" s="4">
        <f>-IPMT('Owner Occupier'!$D$41/12,'FHA Amotization'!$A193,360,'Owner Occupier'!$D$40,0,0)</f>
        <v>1089.7662771590969</v>
      </c>
      <c r="D193" s="4">
        <f t="shared" si="6"/>
        <v>2402.0458219525212</v>
      </c>
      <c r="E193" s="3">
        <f t="shared" si="7"/>
        <v>306386.43400601059</v>
      </c>
      <c r="F193" s="4">
        <f>('Owner Occupier'!$H$24-'Owner Occupier'!$D$52)/('Owner Occupier'!$D$56-'Owner Occupier'!$D$52)*B193</f>
        <v>608.00955398481403</v>
      </c>
      <c r="G193" s="4">
        <f t="shared" si="8"/>
        <v>84275.670663956087</v>
      </c>
    </row>
    <row r="194" spans="1:7" x14ac:dyDescent="0.25">
      <c r="A194">
        <v>191</v>
      </c>
      <c r="B194" s="4">
        <f>-PPMT('Owner Occupier'!$D$41/12,'FHA Amotization'!$A194,360,'Owner Occupier'!$D$40,0,0)</f>
        <v>1316.9272015145677</v>
      </c>
      <c r="C194" s="4">
        <f>-IPMT('Owner Occupier'!$D$41/12,'FHA Amotization'!$A194,360,'Owner Occupier'!$D$40,0,0)</f>
        <v>1085.1186204379537</v>
      </c>
      <c r="D194" s="4">
        <f t="shared" si="6"/>
        <v>2402.0458219525217</v>
      </c>
      <c r="E194" s="3">
        <f t="shared" si="7"/>
        <v>305069.50680449605</v>
      </c>
      <c r="F194" s="4">
        <f>('Owner Occupier'!$H$24-'Owner Occupier'!$D$52)/('Owner Occupier'!$D$56-'Owner Occupier'!$D$52)*B194</f>
        <v>610.16292115517695</v>
      </c>
      <c r="G194" s="4">
        <f t="shared" si="8"/>
        <v>84885.833585111264</v>
      </c>
    </row>
    <row r="195" spans="1:7" x14ac:dyDescent="0.25">
      <c r="A195">
        <v>192</v>
      </c>
      <c r="B195" s="4">
        <f>-PPMT('Owner Occupier'!$D$41/12,'FHA Amotization'!$A195,360,'Owner Occupier'!$D$40,0,0)</f>
        <v>1321.5913186865987</v>
      </c>
      <c r="C195" s="4">
        <f>-IPMT('Owner Occupier'!$D$41/12,'FHA Amotization'!$A195,360,'Owner Occupier'!$D$40,0,0)</f>
        <v>1080.454503265923</v>
      </c>
      <c r="D195" s="4">
        <f t="shared" si="6"/>
        <v>2402.0458219525217</v>
      </c>
      <c r="E195" s="3">
        <f t="shared" si="7"/>
        <v>303747.91548580944</v>
      </c>
      <c r="F195" s="4">
        <f>('Owner Occupier'!$H$24-'Owner Occupier'!$D$52)/('Owner Occupier'!$D$56-'Owner Occupier'!$D$52)*B195</f>
        <v>612.32391483426829</v>
      </c>
      <c r="G195" s="4">
        <f t="shared" si="8"/>
        <v>85498.157499945533</v>
      </c>
    </row>
    <row r="196" spans="1:7" x14ac:dyDescent="0.25">
      <c r="A196">
        <v>193</v>
      </c>
      <c r="B196" s="4">
        <f>-PPMT('Owner Occupier'!$D$41/12,'FHA Amotization'!$A196,360,'Owner Occupier'!$D$40,0,0)</f>
        <v>1326.2719546069468</v>
      </c>
      <c r="C196" s="4">
        <f>-IPMT('Owner Occupier'!$D$41/12,'FHA Amotization'!$A196,360,'Owner Occupier'!$D$40,0,0)</f>
        <v>1075.7738673455744</v>
      </c>
      <c r="D196" s="4">
        <f t="shared" si="6"/>
        <v>2402.0458219525212</v>
      </c>
      <c r="E196" s="3">
        <f t="shared" si="7"/>
        <v>302421.64353120251</v>
      </c>
      <c r="F196" s="4">
        <f>('Owner Occupier'!$H$24-'Owner Occupier'!$D$52)/('Owner Occupier'!$D$56-'Owner Occupier'!$D$52)*B196</f>
        <v>614.49256203263951</v>
      </c>
      <c r="G196" s="4">
        <f t="shared" si="8"/>
        <v>86112.650061978173</v>
      </c>
    </row>
    <row r="197" spans="1:7" x14ac:dyDescent="0.25">
      <c r="A197">
        <v>194</v>
      </c>
      <c r="B197" s="4">
        <f>-PPMT('Owner Occupier'!$D$41/12,'FHA Amotization'!$A197,360,'Owner Occupier'!$D$40,0,0)</f>
        <v>1330.9691677795133</v>
      </c>
      <c r="C197" s="4">
        <f>-IPMT('Owner Occupier'!$D$41/12,'FHA Amotization'!$A197,360,'Owner Occupier'!$D$40,0,0)</f>
        <v>1071.0766541730084</v>
      </c>
      <c r="D197" s="4">
        <f t="shared" ref="D197:D260" si="9">B197+C197</f>
        <v>2402.0458219525217</v>
      </c>
      <c r="E197" s="3">
        <f t="shared" si="7"/>
        <v>301090.67436342302</v>
      </c>
      <c r="F197" s="4">
        <f>('Owner Occupier'!$H$24-'Owner Occupier'!$D$52)/('Owner Occupier'!$D$56-'Owner Occupier'!$D$52)*B197</f>
        <v>616.66888985650519</v>
      </c>
      <c r="G197" s="4">
        <f t="shared" si="8"/>
        <v>86729.318951834677</v>
      </c>
    </row>
    <row r="198" spans="1:7" x14ac:dyDescent="0.25">
      <c r="A198">
        <v>195</v>
      </c>
      <c r="B198" s="4">
        <f>-PPMT('Owner Occupier'!$D$41/12,'FHA Amotization'!$A198,360,'Owner Occupier'!$D$40,0,0)</f>
        <v>1335.6830169153989</v>
      </c>
      <c r="C198" s="4">
        <f>-IPMT('Owner Occupier'!$D$41/12,'FHA Amotization'!$A198,360,'Owner Occupier'!$D$40,0,0)</f>
        <v>1066.3628050371221</v>
      </c>
      <c r="D198" s="4">
        <f t="shared" si="9"/>
        <v>2402.0458219525208</v>
      </c>
      <c r="E198" s="3">
        <f t="shared" ref="E198:E261" si="10">E197-B198</f>
        <v>299754.99134650762</v>
      </c>
      <c r="F198" s="4">
        <f>('Owner Occupier'!$H$24-'Owner Occupier'!$D$52)/('Owner Occupier'!$D$56-'Owner Occupier'!$D$52)*B198</f>
        <v>618.85292550808026</v>
      </c>
      <c r="G198" s="4">
        <f t="shared" ref="G198:G261" si="11">F198+G197</f>
        <v>87348.171877342756</v>
      </c>
    </row>
    <row r="199" spans="1:7" x14ac:dyDescent="0.25">
      <c r="A199">
        <v>196</v>
      </c>
      <c r="B199" s="4">
        <f>-PPMT('Owner Occupier'!$D$41/12,'FHA Amotization'!$A199,360,'Owner Occupier'!$D$40,0,0)</f>
        <v>1340.4135609336411</v>
      </c>
      <c r="C199" s="4">
        <f>-IPMT('Owner Occupier'!$D$41/12,'FHA Amotization'!$A199,360,'Owner Occupier'!$D$40,0,0)</f>
        <v>1061.6322610188804</v>
      </c>
      <c r="D199" s="4">
        <f t="shared" si="9"/>
        <v>2402.0458219525217</v>
      </c>
      <c r="E199" s="3">
        <f t="shared" si="10"/>
        <v>298414.57778557396</v>
      </c>
      <c r="F199" s="4">
        <f>('Owner Occupier'!$H$24-'Owner Occupier'!$D$52)/('Owner Occupier'!$D$56-'Owner Occupier'!$D$52)*B199</f>
        <v>621.04469628592142</v>
      </c>
      <c r="G199" s="4">
        <f t="shared" si="11"/>
        <v>87969.216573628684</v>
      </c>
    </row>
    <row r="200" spans="1:7" x14ac:dyDescent="0.25">
      <c r="A200">
        <v>197</v>
      </c>
      <c r="B200" s="4">
        <f>-PPMT('Owner Occupier'!$D$41/12,'FHA Amotization'!$A200,360,'Owner Occupier'!$D$40,0,0)</f>
        <v>1345.1608589619477</v>
      </c>
      <c r="C200" s="4">
        <f>-IPMT('Owner Occupier'!$D$41/12,'FHA Amotization'!$A200,360,'Owner Occupier'!$D$40,0,0)</f>
        <v>1056.8849629905737</v>
      </c>
      <c r="D200" s="4">
        <f t="shared" si="9"/>
        <v>2402.0458219525217</v>
      </c>
      <c r="E200" s="3">
        <f t="shared" si="10"/>
        <v>297069.41692661203</v>
      </c>
      <c r="F200" s="4">
        <f>('Owner Occupier'!$H$24-'Owner Occupier'!$D$52)/('Owner Occupier'!$D$56-'Owner Occupier'!$D$52)*B200</f>
        <v>623.24422958526736</v>
      </c>
      <c r="G200" s="4">
        <f t="shared" si="11"/>
        <v>88592.460803213951</v>
      </c>
    </row>
    <row r="201" spans="1:7" x14ac:dyDescent="0.25">
      <c r="A201">
        <v>198</v>
      </c>
      <c r="B201" s="4">
        <f>-PPMT('Owner Occupier'!$D$41/12,'FHA Amotization'!$A201,360,'Owner Occupier'!$D$40,0,0)</f>
        <v>1349.9249703374378</v>
      </c>
      <c r="C201" s="4">
        <f>-IPMT('Owner Occupier'!$D$41/12,'FHA Amotization'!$A201,360,'Owner Occupier'!$D$40,0,0)</f>
        <v>1052.1208516150834</v>
      </c>
      <c r="D201" s="4">
        <f t="shared" si="9"/>
        <v>2402.0458219525212</v>
      </c>
      <c r="E201" s="3">
        <f t="shared" si="10"/>
        <v>295719.49195627461</v>
      </c>
      <c r="F201" s="4">
        <f>('Owner Occupier'!$H$24-'Owner Occupier'!$D$52)/('Owner Occupier'!$D$56-'Owner Occupier'!$D$52)*B201</f>
        <v>625.45155289838181</v>
      </c>
      <c r="G201" s="4">
        <f t="shared" si="11"/>
        <v>89217.912356112327</v>
      </c>
    </row>
    <row r="202" spans="1:7" x14ac:dyDescent="0.25">
      <c r="A202">
        <v>199</v>
      </c>
      <c r="B202" s="4">
        <f>-PPMT('Owner Occupier'!$D$41/12,'FHA Amotization'!$A202,360,'Owner Occupier'!$D$40,0,0)</f>
        <v>1354.7059546073829</v>
      </c>
      <c r="C202" s="4">
        <f>-IPMT('Owner Occupier'!$D$41/12,'FHA Amotization'!$A202,360,'Owner Occupier'!$D$40,0,0)</f>
        <v>1047.3398673451384</v>
      </c>
      <c r="D202" s="4">
        <f t="shared" si="9"/>
        <v>2402.0458219525212</v>
      </c>
      <c r="E202" s="3">
        <f t="shared" si="10"/>
        <v>294364.78600166721</v>
      </c>
      <c r="F202" s="4">
        <f>('Owner Occupier'!$H$24-'Owner Occupier'!$D$52)/('Owner Occupier'!$D$56-'Owner Occupier'!$D$52)*B202</f>
        <v>627.66669381489692</v>
      </c>
      <c r="G202" s="4">
        <f t="shared" si="11"/>
        <v>89845.579049927226</v>
      </c>
    </row>
    <row r="203" spans="1:7" x14ac:dyDescent="0.25">
      <c r="A203">
        <v>200</v>
      </c>
      <c r="B203" s="4">
        <f>-PPMT('Owner Occupier'!$D$41/12,'FHA Amotization'!$A203,360,'Owner Occupier'!$D$40,0,0)</f>
        <v>1359.5038715299509</v>
      </c>
      <c r="C203" s="4">
        <f>-IPMT('Owner Occupier'!$D$41/12,'FHA Amotization'!$A203,360,'Owner Occupier'!$D$40,0,0)</f>
        <v>1042.5419504225706</v>
      </c>
      <c r="D203" s="4">
        <f t="shared" si="9"/>
        <v>2402.0458219525217</v>
      </c>
      <c r="E203" s="3">
        <f t="shared" si="10"/>
        <v>293005.28213013726</v>
      </c>
      <c r="F203" s="4">
        <f>('Owner Occupier'!$H$24-'Owner Occupier'!$D$52)/('Owner Occupier'!$D$56-'Owner Occupier'!$D$52)*B203</f>
        <v>629.88968002215813</v>
      </c>
      <c r="G203" s="4">
        <f t="shared" si="11"/>
        <v>90475.468729949382</v>
      </c>
    </row>
    <row r="204" spans="1:7" x14ac:dyDescent="0.25">
      <c r="A204">
        <v>201</v>
      </c>
      <c r="B204" s="4">
        <f>-PPMT('Owner Occupier'!$D$41/12,'FHA Amotization'!$A204,360,'Owner Occupier'!$D$40,0,0)</f>
        <v>1364.318781074953</v>
      </c>
      <c r="C204" s="4">
        <f>-IPMT('Owner Occupier'!$D$41/12,'FHA Amotization'!$A204,360,'Owner Occupier'!$D$40,0,0)</f>
        <v>1037.7270408775689</v>
      </c>
      <c r="D204" s="4">
        <f t="shared" si="9"/>
        <v>2402.0458219525217</v>
      </c>
      <c r="E204" s="3">
        <f t="shared" si="10"/>
        <v>291640.96334906231</v>
      </c>
      <c r="F204" s="4">
        <f>('Owner Occupier'!$H$24-'Owner Occupier'!$D$52)/('Owner Occupier'!$D$56-'Owner Occupier'!$D$52)*B204</f>
        <v>632.12053930556999</v>
      </c>
      <c r="G204" s="4">
        <f t="shared" si="11"/>
        <v>91107.589269254953</v>
      </c>
    </row>
    <row r="205" spans="1:7" x14ac:dyDescent="0.25">
      <c r="A205">
        <v>202</v>
      </c>
      <c r="B205" s="4">
        <f>-PPMT('Owner Occupier'!$D$41/12,'FHA Amotization'!$A205,360,'Owner Occupier'!$D$40,0,0)</f>
        <v>1369.1507434245932</v>
      </c>
      <c r="C205" s="4">
        <f>-IPMT('Owner Occupier'!$D$41/12,'FHA Amotization'!$A205,360,'Owner Occupier'!$D$40,0,0)</f>
        <v>1032.8950785279283</v>
      </c>
      <c r="D205" s="4">
        <f t="shared" si="9"/>
        <v>2402.0458219525217</v>
      </c>
      <c r="E205" s="3">
        <f t="shared" si="10"/>
        <v>290271.81260563771</v>
      </c>
      <c r="F205" s="4">
        <f>('Owner Occupier'!$H$24-'Owner Occupier'!$D$52)/('Owner Occupier'!$D$56-'Owner Occupier'!$D$52)*B205</f>
        <v>634.3592995489438</v>
      </c>
      <c r="G205" s="4">
        <f t="shared" si="11"/>
        <v>91741.948568803899</v>
      </c>
    </row>
    <row r="206" spans="1:7" x14ac:dyDescent="0.25">
      <c r="A206">
        <v>203</v>
      </c>
      <c r="B206" s="4">
        <f>-PPMT('Owner Occupier'!$D$41/12,'FHA Amotization'!$A206,360,'Owner Occupier'!$D$40,0,0)</f>
        <v>1373.9998189742219</v>
      </c>
      <c r="C206" s="4">
        <f>-IPMT('Owner Occupier'!$D$41/12,'FHA Amotization'!$A206,360,'Owner Occupier'!$D$40,0,0)</f>
        <v>1028.0460029782994</v>
      </c>
      <c r="D206" s="4">
        <f t="shared" si="9"/>
        <v>2402.0458219525212</v>
      </c>
      <c r="E206" s="3">
        <f t="shared" si="10"/>
        <v>288897.81278666347</v>
      </c>
      <c r="F206" s="4">
        <f>('Owner Occupier'!$H$24-'Owner Occupier'!$D$52)/('Owner Occupier'!$D$56-'Owner Occupier'!$D$52)*B206</f>
        <v>636.60598873484628</v>
      </c>
      <c r="G206" s="4">
        <f t="shared" si="11"/>
        <v>92378.554557538751</v>
      </c>
    </row>
    <row r="207" spans="1:7" x14ac:dyDescent="0.25">
      <c r="A207">
        <v>204</v>
      </c>
      <c r="B207" s="4">
        <f>-PPMT('Owner Occupier'!$D$41/12,'FHA Amotization'!$A207,360,'Owner Occupier'!$D$40,0,0)</f>
        <v>1378.8660683330891</v>
      </c>
      <c r="C207" s="4">
        <f>-IPMT('Owner Occupier'!$D$41/12,'FHA Amotization'!$A207,360,'Owner Occupier'!$D$40,0,0)</f>
        <v>1023.1797536194324</v>
      </c>
      <c r="D207" s="4">
        <f t="shared" si="9"/>
        <v>2402.0458219525217</v>
      </c>
      <c r="E207" s="3">
        <f t="shared" si="10"/>
        <v>287518.94671833038</v>
      </c>
      <c r="F207" s="4">
        <f>('Owner Occupier'!$H$24-'Owner Occupier'!$D$52)/('Owner Occupier'!$D$56-'Owner Occupier'!$D$52)*B207</f>
        <v>638.86063494494886</v>
      </c>
      <c r="G207" s="4">
        <f t="shared" si="11"/>
        <v>93017.415192483706</v>
      </c>
    </row>
    <row r="208" spans="1:7" x14ac:dyDescent="0.25">
      <c r="A208">
        <v>205</v>
      </c>
      <c r="B208" s="4">
        <f>-PPMT('Owner Occupier'!$D$41/12,'FHA Amotization'!$A208,360,'Owner Occupier'!$D$40,0,0)</f>
        <v>1383.7495523251021</v>
      </c>
      <c r="C208" s="4">
        <f>-IPMT('Owner Occupier'!$D$41/12,'FHA Amotization'!$A208,360,'Owner Occupier'!$D$40,0,0)</f>
        <v>1018.2962696274193</v>
      </c>
      <c r="D208" s="4">
        <f t="shared" si="9"/>
        <v>2402.0458219525212</v>
      </c>
      <c r="E208" s="3">
        <f t="shared" si="10"/>
        <v>286135.19716600527</v>
      </c>
      <c r="F208" s="4">
        <f>('Owner Occupier'!$H$24-'Owner Occupier'!$D$52)/('Owner Occupier'!$D$56-'Owner Occupier'!$D$52)*B208</f>
        <v>641.12326636037892</v>
      </c>
      <c r="G208" s="4">
        <f t="shared" si="11"/>
        <v>93658.538458844079</v>
      </c>
    </row>
    <row r="209" spans="1:7" x14ac:dyDescent="0.25">
      <c r="A209">
        <v>206</v>
      </c>
      <c r="B209" s="4">
        <f>-PPMT('Owner Occupier'!$D$41/12,'FHA Amotization'!$A209,360,'Owner Occupier'!$D$40,0,0)</f>
        <v>1388.6503319895867</v>
      </c>
      <c r="C209" s="4">
        <f>-IPMT('Owner Occupier'!$D$41/12,'FHA Amotization'!$A209,360,'Owner Occupier'!$D$40,0,0)</f>
        <v>1013.3954899629348</v>
      </c>
      <c r="D209" s="4">
        <f t="shared" si="9"/>
        <v>2402.0458219525217</v>
      </c>
      <c r="E209" s="3">
        <f t="shared" si="10"/>
        <v>284746.54683401569</v>
      </c>
      <c r="F209" s="4">
        <f>('Owner Occupier'!$H$24-'Owner Occupier'!$D$52)/('Owner Occupier'!$D$56-'Owner Occupier'!$D$52)*B209</f>
        <v>643.39391126207181</v>
      </c>
      <c r="G209" s="4">
        <f t="shared" si="11"/>
        <v>94301.932370106151</v>
      </c>
    </row>
    <row r="210" spans="1:7" x14ac:dyDescent="0.25">
      <c r="A210">
        <v>207</v>
      </c>
      <c r="B210" s="4">
        <f>-PPMT('Owner Occupier'!$D$41/12,'FHA Amotization'!$A210,360,'Owner Occupier'!$D$40,0,0)</f>
        <v>1393.5684685820499</v>
      </c>
      <c r="C210" s="4">
        <f>-IPMT('Owner Occupier'!$D$41/12,'FHA Amotization'!$A210,360,'Owner Occupier'!$D$40,0,0)</f>
        <v>1008.4773533704715</v>
      </c>
      <c r="D210" s="4">
        <f t="shared" si="9"/>
        <v>2402.0458219525217</v>
      </c>
      <c r="E210" s="3">
        <f t="shared" si="10"/>
        <v>283352.97836543364</v>
      </c>
      <c r="F210" s="4">
        <f>('Owner Occupier'!$H$24-'Owner Occupier'!$D$52)/('Owner Occupier'!$D$56-'Owner Occupier'!$D$52)*B210</f>
        <v>645.67259803112506</v>
      </c>
      <c r="G210" s="4">
        <f t="shared" si="11"/>
        <v>94947.604968137282</v>
      </c>
    </row>
    <row r="211" spans="1:7" x14ac:dyDescent="0.25">
      <c r="A211">
        <v>208</v>
      </c>
      <c r="B211" s="4">
        <f>-PPMT('Owner Occupier'!$D$41/12,'FHA Amotization'!$A211,360,'Owner Occupier'!$D$40,0,0)</f>
        <v>1398.5040235749445</v>
      </c>
      <c r="C211" s="4">
        <f>-IPMT('Owner Occupier'!$D$41/12,'FHA Amotization'!$A211,360,'Owner Occupier'!$D$40,0,0)</f>
        <v>1003.5417983775769</v>
      </c>
      <c r="D211" s="4">
        <f t="shared" si="9"/>
        <v>2402.0458219525217</v>
      </c>
      <c r="E211" s="3">
        <f t="shared" si="10"/>
        <v>281954.4743418587</v>
      </c>
      <c r="F211" s="4">
        <f>('Owner Occupier'!$H$24-'Owner Occupier'!$D$52)/('Owner Occupier'!$D$56-'Owner Occupier'!$D$52)*B211</f>
        <v>647.95935514915197</v>
      </c>
      <c r="G211" s="4">
        <f t="shared" si="11"/>
        <v>95595.564323286439</v>
      </c>
    </row>
    <row r="212" spans="1:7" x14ac:dyDescent="0.25">
      <c r="A212">
        <v>209</v>
      </c>
      <c r="B212" s="4">
        <f>-PPMT('Owner Occupier'!$D$41/12,'FHA Amotization'!$A212,360,'Owner Occupier'!$D$40,0,0)</f>
        <v>1403.4570586584391</v>
      </c>
      <c r="C212" s="4">
        <f>-IPMT('Owner Occupier'!$D$41/12,'FHA Amotization'!$A212,360,'Owner Occupier'!$D$40,0,0)</f>
        <v>998.58876329408213</v>
      </c>
      <c r="D212" s="4">
        <f t="shared" si="9"/>
        <v>2402.0458219525212</v>
      </c>
      <c r="E212" s="3">
        <f t="shared" si="10"/>
        <v>280551.01728320029</v>
      </c>
      <c r="F212" s="4">
        <f>('Owner Occupier'!$H$24-'Owner Occupier'!$D$52)/('Owner Occupier'!$D$56-'Owner Occupier'!$D$52)*B212</f>
        <v>650.25421119863847</v>
      </c>
      <c r="G212" s="4">
        <f t="shared" si="11"/>
        <v>96245.818534485079</v>
      </c>
    </row>
    <row r="213" spans="1:7" x14ac:dyDescent="0.25">
      <c r="A213">
        <v>210</v>
      </c>
      <c r="B213" s="4">
        <f>-PPMT('Owner Occupier'!$D$41/12,'FHA Amotization'!$A213,360,'Owner Occupier'!$D$40,0,0)</f>
        <v>1408.4276357411877</v>
      </c>
      <c r="C213" s="4">
        <f>-IPMT('Owner Occupier'!$D$41/12,'FHA Amotization'!$A213,360,'Owner Occupier'!$D$40,0,0)</f>
        <v>993.61818621133364</v>
      </c>
      <c r="D213" s="4">
        <f t="shared" si="9"/>
        <v>2402.0458219525212</v>
      </c>
      <c r="E213" s="3">
        <f t="shared" si="10"/>
        <v>279142.5896474591</v>
      </c>
      <c r="F213" s="4">
        <f>('Owner Occupier'!$H$24-'Owner Occupier'!$D$52)/('Owner Occupier'!$D$56-'Owner Occupier'!$D$52)*B213</f>
        <v>652.55719486330031</v>
      </c>
      <c r="G213" s="4">
        <f t="shared" si="11"/>
        <v>96898.37572934838</v>
      </c>
    </row>
    <row r="214" spans="1:7" x14ac:dyDescent="0.25">
      <c r="A214">
        <v>211</v>
      </c>
      <c r="B214" s="4">
        <f>-PPMT('Owner Occupier'!$D$41/12,'FHA Amotization'!$A214,360,'Owner Occupier'!$D$40,0,0)</f>
        <v>1413.4158169511043</v>
      </c>
      <c r="C214" s="4">
        <f>-IPMT('Owner Occupier'!$D$41/12,'FHA Amotization'!$A214,360,'Owner Occupier'!$D$40,0,0)</f>
        <v>988.63000500141663</v>
      </c>
      <c r="D214" s="4">
        <f t="shared" si="9"/>
        <v>2402.0458219525208</v>
      </c>
      <c r="E214" s="3">
        <f t="shared" si="10"/>
        <v>277729.17383050802</v>
      </c>
      <c r="F214" s="4">
        <f>('Owner Occupier'!$H$24-'Owner Occupier'!$D$52)/('Owner Occupier'!$D$56-'Owner Occupier'!$D$52)*B214</f>
        <v>654.86833492844107</v>
      </c>
      <c r="G214" s="4">
        <f t="shared" si="11"/>
        <v>97553.24406427682</v>
      </c>
    </row>
    <row r="215" spans="1:7" x14ac:dyDescent="0.25">
      <c r="A215">
        <v>212</v>
      </c>
      <c r="B215" s="4">
        <f>-PPMT('Owner Occupier'!$D$41/12,'FHA Amotization'!$A215,360,'Owner Occupier'!$D$40,0,0)</f>
        <v>1418.4216646361397</v>
      </c>
      <c r="C215" s="4">
        <f>-IPMT('Owner Occupier'!$D$41/12,'FHA Amotization'!$A215,360,'Owner Occupier'!$D$40,0,0)</f>
        <v>983.6241573163818</v>
      </c>
      <c r="D215" s="4">
        <f t="shared" si="9"/>
        <v>2402.0458219525217</v>
      </c>
      <c r="E215" s="3">
        <f t="shared" si="10"/>
        <v>276310.75216587191</v>
      </c>
      <c r="F215" s="4">
        <f>('Owner Occupier'!$H$24-'Owner Occupier'!$D$52)/('Owner Occupier'!$D$56-'Owner Occupier'!$D$52)*B215</f>
        <v>657.18766028131279</v>
      </c>
      <c r="G215" s="4">
        <f t="shared" si="11"/>
        <v>98210.431724558133</v>
      </c>
    </row>
    <row r="216" spans="1:7" x14ac:dyDescent="0.25">
      <c r="A216">
        <v>213</v>
      </c>
      <c r="B216" s="4">
        <f>-PPMT('Owner Occupier'!$D$41/12,'FHA Amotization'!$A216,360,'Owner Occupier'!$D$40,0,0)</f>
        <v>1423.4452413650592</v>
      </c>
      <c r="C216" s="4">
        <f>-IPMT('Owner Occupier'!$D$41/12,'FHA Amotization'!$A216,360,'Owner Occupier'!$D$40,0,0)</f>
        <v>978.60058058746188</v>
      </c>
      <c r="D216" s="4">
        <f t="shared" si="9"/>
        <v>2402.0458219525212</v>
      </c>
      <c r="E216" s="3">
        <f t="shared" si="10"/>
        <v>274887.30692450685</v>
      </c>
      <c r="F216" s="4">
        <f>('Owner Occupier'!$H$24-'Owner Occupier'!$D$52)/('Owner Occupier'!$D$56-'Owner Occupier'!$D$52)*B216</f>
        <v>659.51519991147575</v>
      </c>
      <c r="G216" s="4">
        <f t="shared" si="11"/>
        <v>98869.946924469608</v>
      </c>
    </row>
    <row r="217" spans="1:7" x14ac:dyDescent="0.25">
      <c r="A217">
        <v>214</v>
      </c>
      <c r="B217" s="4">
        <f>-PPMT('Owner Occupier'!$D$41/12,'FHA Amotization'!$A217,360,'Owner Occupier'!$D$40,0,0)</f>
        <v>1428.4866099282274</v>
      </c>
      <c r="C217" s="4">
        <f>-IPMT('Owner Occupier'!$D$41/12,'FHA Amotization'!$A217,360,'Owner Occupier'!$D$40,0,0)</f>
        <v>973.55921202429397</v>
      </c>
      <c r="D217" s="4">
        <f t="shared" si="9"/>
        <v>2402.0458219525212</v>
      </c>
      <c r="E217" s="3">
        <f t="shared" si="10"/>
        <v>273458.8203145786</v>
      </c>
      <c r="F217" s="4">
        <f>('Owner Occupier'!$H$24-'Owner Occupier'!$D$52)/('Owner Occupier'!$D$56-'Owner Occupier'!$D$52)*B217</f>
        <v>661.8509829111623</v>
      </c>
      <c r="G217" s="4">
        <f t="shared" si="11"/>
        <v>99531.797907380766</v>
      </c>
    </row>
    <row r="218" spans="1:7" x14ac:dyDescent="0.25">
      <c r="A218">
        <v>215</v>
      </c>
      <c r="B218" s="4">
        <f>-PPMT('Owner Occupier'!$D$41/12,'FHA Amotization'!$A218,360,'Owner Occupier'!$D$40,0,0)</f>
        <v>1433.5458333383897</v>
      </c>
      <c r="C218" s="4">
        <f>-IPMT('Owner Occupier'!$D$41/12,'FHA Amotization'!$A218,360,'Owner Occupier'!$D$40,0,0)</f>
        <v>968.49998861413178</v>
      </c>
      <c r="D218" s="4">
        <f t="shared" si="9"/>
        <v>2402.0458219525217</v>
      </c>
      <c r="E218" s="3">
        <f t="shared" si="10"/>
        <v>272025.27448124019</v>
      </c>
      <c r="F218" s="4">
        <f>('Owner Occupier'!$H$24-'Owner Occupier'!$D$52)/('Owner Occupier'!$D$56-'Owner Occupier'!$D$52)*B218</f>
        <v>664.19503847563931</v>
      </c>
      <c r="G218" s="4">
        <f t="shared" si="11"/>
        <v>100195.9929458564</v>
      </c>
    </row>
    <row r="219" spans="1:7" x14ac:dyDescent="0.25">
      <c r="A219">
        <v>216</v>
      </c>
      <c r="B219" s="4">
        <f>-PPMT('Owner Occupier'!$D$41/12,'FHA Amotization'!$A219,360,'Owner Occupier'!$D$40,0,0)</f>
        <v>1438.6229748314631</v>
      </c>
      <c r="C219" s="4">
        <f>-IPMT('Owner Occupier'!$D$41/12,'FHA Amotization'!$A219,360,'Owner Occupier'!$D$40,0,0)</f>
        <v>963.42284712105823</v>
      </c>
      <c r="D219" s="4">
        <f t="shared" si="9"/>
        <v>2402.0458219525212</v>
      </c>
      <c r="E219" s="3">
        <f t="shared" si="10"/>
        <v>270586.65150640876</v>
      </c>
      <c r="F219" s="4">
        <f>('Owner Occupier'!$H$24-'Owner Occupier'!$D$52)/('Owner Occupier'!$D$56-'Owner Occupier'!$D$52)*B219</f>
        <v>666.54739590357383</v>
      </c>
      <c r="G219" s="4">
        <f t="shared" si="11"/>
        <v>100862.54034175997</v>
      </c>
    </row>
    <row r="220" spans="1:7" x14ac:dyDescent="0.25">
      <c r="A220">
        <v>217</v>
      </c>
      <c r="B220" s="4">
        <f>-PPMT('Owner Occupier'!$D$41/12,'FHA Amotization'!$A220,360,'Owner Occupier'!$D$40,0,0)</f>
        <v>1443.7180978673246</v>
      </c>
      <c r="C220" s="4">
        <f>-IPMT('Owner Occupier'!$D$41/12,'FHA Amotization'!$A220,360,'Owner Occupier'!$D$40,0,0)</f>
        <v>958.32772408519656</v>
      </c>
      <c r="D220" s="4">
        <f t="shared" si="9"/>
        <v>2402.0458219525212</v>
      </c>
      <c r="E220" s="3">
        <f t="shared" si="10"/>
        <v>269142.93340854143</v>
      </c>
      <c r="F220" s="4">
        <f>('Owner Occupier'!$H$24-'Owner Occupier'!$D$52)/('Owner Occupier'!$D$56-'Owner Occupier'!$D$52)*B220</f>
        <v>668.90808459739901</v>
      </c>
      <c r="G220" s="4">
        <f t="shared" si="11"/>
        <v>101531.44842635737</v>
      </c>
    </row>
    <row r="221" spans="1:7" x14ac:dyDescent="0.25">
      <c r="A221">
        <v>218</v>
      </c>
      <c r="B221" s="4">
        <f>-PPMT('Owner Occupier'!$D$41/12,'FHA Amotization'!$A221,360,'Owner Occupier'!$D$40,0,0)</f>
        <v>1448.8312661306045</v>
      </c>
      <c r="C221" s="4">
        <f>-IPMT('Owner Occupier'!$D$41/12,'FHA Amotization'!$A221,360,'Owner Occupier'!$D$40,0,0)</f>
        <v>953.21455582191641</v>
      </c>
      <c r="D221" s="4">
        <f t="shared" si="9"/>
        <v>2402.0458219525208</v>
      </c>
      <c r="E221" s="3">
        <f t="shared" si="10"/>
        <v>267694.10214241082</v>
      </c>
      <c r="F221" s="4">
        <f>('Owner Occupier'!$H$24-'Owner Occupier'!$D$52)/('Owner Occupier'!$D$56-'Owner Occupier'!$D$52)*B221</f>
        <v>671.27713406368139</v>
      </c>
      <c r="G221" s="4">
        <f t="shared" si="11"/>
        <v>102202.72556042105</v>
      </c>
    </row>
    <row r="222" spans="1:7" x14ac:dyDescent="0.25">
      <c r="A222">
        <v>219</v>
      </c>
      <c r="B222" s="4">
        <f>-PPMT('Owner Occupier'!$D$41/12,'FHA Amotization'!$A222,360,'Owner Occupier'!$D$40,0,0)</f>
        <v>1453.9625435314838</v>
      </c>
      <c r="C222" s="4">
        <f>-IPMT('Owner Occupier'!$D$41/12,'FHA Amotization'!$A222,360,'Owner Occupier'!$D$40,0,0)</f>
        <v>948.08327842103756</v>
      </c>
      <c r="D222" s="4">
        <f t="shared" si="9"/>
        <v>2402.0458219525212</v>
      </c>
      <c r="E222" s="3">
        <f t="shared" si="10"/>
        <v>266240.13959887932</v>
      </c>
      <c r="F222" s="4">
        <f>('Owner Occupier'!$H$24-'Owner Occupier'!$D$52)/('Owner Occupier'!$D$56-'Owner Occupier'!$D$52)*B222</f>
        <v>673.65457391349025</v>
      </c>
      <c r="G222" s="4">
        <f t="shared" si="11"/>
        <v>102876.38013433454</v>
      </c>
    </row>
    <row r="223" spans="1:7" x14ac:dyDescent="0.25">
      <c r="A223">
        <v>220</v>
      </c>
      <c r="B223" s="4">
        <f>-PPMT('Owner Occupier'!$D$41/12,'FHA Amotization'!$A223,360,'Owner Occupier'!$D$40,0,0)</f>
        <v>1459.1119942064913</v>
      </c>
      <c r="C223" s="4">
        <f>-IPMT('Owner Occupier'!$D$41/12,'FHA Amotization'!$A223,360,'Owner Occupier'!$D$40,0,0)</f>
        <v>942.93382774602992</v>
      </c>
      <c r="D223" s="4">
        <f t="shared" si="9"/>
        <v>2402.0458219525212</v>
      </c>
      <c r="E223" s="3">
        <f t="shared" si="10"/>
        <v>264781.02760467282</v>
      </c>
      <c r="F223" s="4">
        <f>('Owner Occupier'!$H$24-'Owner Occupier'!$D$52)/('Owner Occupier'!$D$56-'Owner Occupier'!$D$52)*B223</f>
        <v>676.04043386276726</v>
      </c>
      <c r="G223" s="4">
        <f t="shared" si="11"/>
        <v>103552.42056819731</v>
      </c>
    </row>
    <row r="224" spans="1:7" x14ac:dyDescent="0.25">
      <c r="A224">
        <v>221</v>
      </c>
      <c r="B224" s="4">
        <f>-PPMT('Owner Occupier'!$D$41/12,'FHA Amotization'!$A224,360,'Owner Occupier'!$D$40,0,0)</f>
        <v>1464.2796825193059</v>
      </c>
      <c r="C224" s="4">
        <f>-IPMT('Owner Occupier'!$D$41/12,'FHA Amotization'!$A224,360,'Owner Occupier'!$D$40,0,0)</f>
        <v>937.76613943321524</v>
      </c>
      <c r="D224" s="4">
        <f t="shared" si="9"/>
        <v>2402.0458219525212</v>
      </c>
      <c r="E224" s="3">
        <f t="shared" si="10"/>
        <v>263316.7479221535</v>
      </c>
      <c r="F224" s="4">
        <f>('Owner Occupier'!$H$24-'Owner Occupier'!$D$52)/('Owner Occupier'!$D$56-'Owner Occupier'!$D$52)*B224</f>
        <v>678.43474373269783</v>
      </c>
      <c r="G224" s="4">
        <f t="shared" si="11"/>
        <v>104230.85531193</v>
      </c>
    </row>
    <row r="225" spans="1:7" x14ac:dyDescent="0.25">
      <c r="A225">
        <v>222</v>
      </c>
      <c r="B225" s="4">
        <f>-PPMT('Owner Occupier'!$D$41/12,'FHA Amotization'!$A225,360,'Owner Occupier'!$D$40,0,0)</f>
        <v>1469.4656730615618</v>
      </c>
      <c r="C225" s="4">
        <f>-IPMT('Owner Occupier'!$D$41/12,'FHA Amotization'!$A225,360,'Owner Occupier'!$D$40,0,0)</f>
        <v>932.58014889095955</v>
      </c>
      <c r="D225" s="4">
        <f t="shared" si="9"/>
        <v>2402.0458219525212</v>
      </c>
      <c r="E225" s="3">
        <f t="shared" si="10"/>
        <v>261847.28224909195</v>
      </c>
      <c r="F225" s="4">
        <f>('Owner Occupier'!$H$24-'Owner Occupier'!$D$52)/('Owner Occupier'!$D$56-'Owner Occupier'!$D$52)*B225</f>
        <v>680.83753345008449</v>
      </c>
      <c r="G225" s="4">
        <f t="shared" si="11"/>
        <v>104911.69284538009</v>
      </c>
    </row>
    <row r="226" spans="1:7" x14ac:dyDescent="0.25">
      <c r="A226">
        <v>223</v>
      </c>
      <c r="B226" s="4">
        <f>-PPMT('Owner Occupier'!$D$41/12,'FHA Amotization'!$A226,360,'Owner Occupier'!$D$40,0,0)</f>
        <v>1474.670030653655</v>
      </c>
      <c r="C226" s="4">
        <f>-IPMT('Owner Occupier'!$D$41/12,'FHA Amotization'!$A226,360,'Owner Occupier'!$D$40,0,0)</f>
        <v>927.37579129886649</v>
      </c>
      <c r="D226" s="4">
        <f t="shared" si="9"/>
        <v>2402.0458219525217</v>
      </c>
      <c r="E226" s="3">
        <f t="shared" si="10"/>
        <v>260372.6122184383</v>
      </c>
      <c r="F226" s="4">
        <f>('Owner Occupier'!$H$24-'Owner Occupier'!$D$52)/('Owner Occupier'!$D$56-'Owner Occupier'!$D$52)*B226</f>
        <v>683.24883304772027</v>
      </c>
      <c r="G226" s="4">
        <f t="shared" si="11"/>
        <v>105594.94167842781</v>
      </c>
    </row>
    <row r="227" spans="1:7" x14ac:dyDescent="0.25">
      <c r="A227">
        <v>224</v>
      </c>
      <c r="B227" s="4">
        <f>-PPMT('Owner Occupier'!$D$41/12,'FHA Amotization'!$A227,360,'Owner Occupier'!$D$40,0,0)</f>
        <v>1479.8928203455534</v>
      </c>
      <c r="C227" s="4">
        <f>-IPMT('Owner Occupier'!$D$41/12,'FHA Amotization'!$A227,360,'Owner Occupier'!$D$40,0,0)</f>
        <v>922.15300160696813</v>
      </c>
      <c r="D227" s="4">
        <f t="shared" si="9"/>
        <v>2402.0458219525217</v>
      </c>
      <c r="E227" s="3">
        <f t="shared" si="10"/>
        <v>258892.71939809274</v>
      </c>
      <c r="F227" s="4">
        <f>('Owner Occupier'!$H$24-'Owner Occupier'!$D$52)/('Owner Occupier'!$D$56-'Owner Occupier'!$D$52)*B227</f>
        <v>685.66867266476436</v>
      </c>
      <c r="G227" s="4">
        <f t="shared" si="11"/>
        <v>106280.61035109258</v>
      </c>
    </row>
    <row r="228" spans="1:7" x14ac:dyDescent="0.25">
      <c r="A228">
        <v>225</v>
      </c>
      <c r="B228" s="4">
        <f>-PPMT('Owner Occupier'!$D$41/12,'FHA Amotization'!$A228,360,'Owner Occupier'!$D$40,0,0)</f>
        <v>1485.1341074176105</v>
      </c>
      <c r="C228" s="4">
        <f>-IPMT('Owner Occupier'!$D$41/12,'FHA Amotization'!$A228,360,'Owner Occupier'!$D$40,0,0)</f>
        <v>916.91171453491108</v>
      </c>
      <c r="D228" s="4">
        <f t="shared" si="9"/>
        <v>2402.0458219525217</v>
      </c>
      <c r="E228" s="3">
        <f t="shared" si="10"/>
        <v>257407.58529067514</v>
      </c>
      <c r="F228" s="4">
        <f>('Owner Occupier'!$H$24-'Owner Occupier'!$D$52)/('Owner Occupier'!$D$56-'Owner Occupier'!$D$52)*B228</f>
        <v>688.0970825471187</v>
      </c>
      <c r="G228" s="4">
        <f t="shared" si="11"/>
        <v>106968.70743363969</v>
      </c>
    </row>
    <row r="229" spans="1:7" x14ac:dyDescent="0.25">
      <c r="A229">
        <v>226</v>
      </c>
      <c r="B229" s="4">
        <f>-PPMT('Owner Occupier'!$D$41/12,'FHA Amotization'!$A229,360,'Owner Occupier'!$D$40,0,0)</f>
        <v>1490.3939573813811</v>
      </c>
      <c r="C229" s="4">
        <f>-IPMT('Owner Occupier'!$D$41/12,'FHA Amotization'!$A229,360,'Owner Occupier'!$D$40,0,0)</f>
        <v>911.65186457114021</v>
      </c>
      <c r="D229" s="4">
        <f t="shared" si="9"/>
        <v>2402.0458219525212</v>
      </c>
      <c r="E229" s="3">
        <f t="shared" si="10"/>
        <v>255917.19133329377</v>
      </c>
      <c r="F229" s="4">
        <f>('Owner Occupier'!$H$24-'Owner Occupier'!$D$52)/('Owner Occupier'!$D$56-'Owner Occupier'!$D$52)*B229</f>
        <v>690.53409304780632</v>
      </c>
      <c r="G229" s="4">
        <f t="shared" si="11"/>
        <v>107659.2415266875</v>
      </c>
    </row>
    <row r="230" spans="1:7" x14ac:dyDescent="0.25">
      <c r="A230">
        <v>227</v>
      </c>
      <c r="B230" s="4">
        <f>-PPMT('Owner Occupier'!$D$41/12,'FHA Amotization'!$A230,360,'Owner Occupier'!$D$40,0,0)</f>
        <v>1495.6724359804405</v>
      </c>
      <c r="C230" s="4">
        <f>-IPMT('Owner Occupier'!$D$41/12,'FHA Amotization'!$A230,360,'Owner Occupier'!$D$40,0,0)</f>
        <v>906.37338597208111</v>
      </c>
      <c r="D230" s="4">
        <f t="shared" si="9"/>
        <v>2402.0458219525217</v>
      </c>
      <c r="E230" s="3">
        <f t="shared" si="10"/>
        <v>254421.51889731333</v>
      </c>
      <c r="F230" s="4">
        <f>('Owner Occupier'!$H$24-'Owner Occupier'!$D$52)/('Owner Occupier'!$D$56-'Owner Occupier'!$D$52)*B230</f>
        <v>692.97973462735081</v>
      </c>
      <c r="G230" s="4">
        <f t="shared" si="11"/>
        <v>108352.22126131486</v>
      </c>
    </row>
    <row r="231" spans="1:7" x14ac:dyDescent="0.25">
      <c r="A231">
        <v>228</v>
      </c>
      <c r="B231" s="4">
        <f>-PPMT('Owner Occupier'!$D$41/12,'FHA Amotization'!$A231,360,'Owner Occupier'!$D$40,0,0)</f>
        <v>1500.9696091912042</v>
      </c>
      <c r="C231" s="4">
        <f>-IPMT('Owner Occupier'!$D$41/12,'FHA Amotization'!$A231,360,'Owner Occupier'!$D$40,0,0)</f>
        <v>901.07621276131704</v>
      </c>
      <c r="D231" s="4">
        <f t="shared" si="9"/>
        <v>2402.0458219525212</v>
      </c>
      <c r="E231" s="3">
        <f t="shared" si="10"/>
        <v>252920.54928812213</v>
      </c>
      <c r="F231" s="4">
        <f>('Owner Occupier'!$H$24-'Owner Occupier'!$D$52)/('Owner Occupier'!$D$56-'Owner Occupier'!$D$52)*B231</f>
        <v>695.4340378541558</v>
      </c>
      <c r="G231" s="4">
        <f t="shared" si="11"/>
        <v>109047.65529916901</v>
      </c>
    </row>
    <row r="232" spans="1:7" x14ac:dyDescent="0.25">
      <c r="A232">
        <v>229</v>
      </c>
      <c r="B232" s="4">
        <f>-PPMT('Owner Occupier'!$D$41/12,'FHA Amotization'!$A232,360,'Owner Occupier'!$D$40,0,0)</f>
        <v>1506.2855432237563</v>
      </c>
      <c r="C232" s="4">
        <f>-IPMT('Owner Occupier'!$D$41/12,'FHA Amotization'!$A232,360,'Owner Occupier'!$D$40,0,0)</f>
        <v>895.76027872876489</v>
      </c>
      <c r="D232" s="4">
        <f t="shared" si="9"/>
        <v>2402.0458219525212</v>
      </c>
      <c r="E232" s="3">
        <f t="shared" si="10"/>
        <v>251414.26374489837</v>
      </c>
      <c r="F232" s="4">
        <f>('Owner Occupier'!$H$24-'Owner Occupier'!$D$52)/('Owner Occupier'!$D$56-'Owner Occupier'!$D$52)*B232</f>
        <v>697.89703340488927</v>
      </c>
      <c r="G232" s="4">
        <f t="shared" si="11"/>
        <v>109745.55233257391</v>
      </c>
    </row>
    <row r="233" spans="1:7" x14ac:dyDescent="0.25">
      <c r="A233">
        <v>230</v>
      </c>
      <c r="B233" s="4">
        <f>-PPMT('Owner Occupier'!$D$41/12,'FHA Amotization'!$A233,360,'Owner Occupier'!$D$40,0,0)</f>
        <v>1511.6203045226739</v>
      </c>
      <c r="C233" s="4">
        <f>-IPMT('Owner Occupier'!$D$41/12,'FHA Amotization'!$A233,360,'Owner Occupier'!$D$40,0,0)</f>
        <v>890.42551742984733</v>
      </c>
      <c r="D233" s="4">
        <f t="shared" si="9"/>
        <v>2402.0458219525212</v>
      </c>
      <c r="E233" s="3">
        <f t="shared" si="10"/>
        <v>249902.64344037569</v>
      </c>
      <c r="F233" s="4">
        <f>('Owner Occupier'!$H$24-'Owner Occupier'!$D$52)/('Owner Occupier'!$D$56-'Owner Occupier'!$D$52)*B233</f>
        <v>700.36875206486502</v>
      </c>
      <c r="G233" s="4">
        <f t="shared" si="11"/>
        <v>110445.92108463877</v>
      </c>
    </row>
    <row r="234" spans="1:7" x14ac:dyDescent="0.25">
      <c r="A234">
        <v>231</v>
      </c>
      <c r="B234" s="4">
        <f>-PPMT('Owner Occupier'!$D$41/12,'FHA Amotization'!$A234,360,'Owner Occupier'!$D$40,0,0)</f>
        <v>1516.9739597678586</v>
      </c>
      <c r="C234" s="4">
        <f>-IPMT('Owner Occupier'!$D$41/12,'FHA Amotization'!$A234,360,'Owner Occupier'!$D$40,0,0)</f>
        <v>885.0718621846629</v>
      </c>
      <c r="D234" s="4">
        <f t="shared" si="9"/>
        <v>2402.0458219525217</v>
      </c>
      <c r="E234" s="3">
        <f t="shared" si="10"/>
        <v>248385.66948060782</v>
      </c>
      <c r="F234" s="4">
        <f>('Owner Occupier'!$H$24-'Owner Occupier'!$D$52)/('Owner Occupier'!$D$56-'Owner Occupier'!$D$52)*B234</f>
        <v>702.84922472842811</v>
      </c>
      <c r="G234" s="4">
        <f t="shared" si="11"/>
        <v>111148.7703093672</v>
      </c>
    </row>
    <row r="235" spans="1:7" x14ac:dyDescent="0.25">
      <c r="A235">
        <v>232</v>
      </c>
      <c r="B235" s="4">
        <f>-PPMT('Owner Occupier'!$D$41/12,'FHA Amotization'!$A235,360,'Owner Occupier'!$D$40,0,0)</f>
        <v>1522.3465758753696</v>
      </c>
      <c r="C235" s="4">
        <f>-IPMT('Owner Occupier'!$D$41/12,'FHA Amotization'!$A235,360,'Owner Occupier'!$D$40,0,0)</f>
        <v>879.69924607715177</v>
      </c>
      <c r="D235" s="4">
        <f t="shared" si="9"/>
        <v>2402.0458219525212</v>
      </c>
      <c r="E235" s="3">
        <f t="shared" si="10"/>
        <v>246863.32290473246</v>
      </c>
      <c r="F235" s="4">
        <f>('Owner Occupier'!$H$24-'Owner Occupier'!$D$52)/('Owner Occupier'!$D$56-'Owner Occupier'!$D$52)*B235</f>
        <v>705.33848239934127</v>
      </c>
      <c r="G235" s="4">
        <f t="shared" si="11"/>
        <v>111854.10879176654</v>
      </c>
    </row>
    <row r="236" spans="1:7" x14ac:dyDescent="0.25">
      <c r="A236">
        <v>233</v>
      </c>
      <c r="B236" s="4">
        <f>-PPMT('Owner Occupier'!$D$41/12,'FHA Amotization'!$A236,360,'Owner Occupier'!$D$40,0,0)</f>
        <v>1527.7382199982617</v>
      </c>
      <c r="C236" s="4">
        <f>-IPMT('Owner Occupier'!$D$41/12,'FHA Amotization'!$A236,360,'Owner Occupier'!$D$40,0,0)</f>
        <v>874.30760195425989</v>
      </c>
      <c r="D236" s="4">
        <f t="shared" si="9"/>
        <v>2402.0458219525217</v>
      </c>
      <c r="E236" s="3">
        <f t="shared" si="10"/>
        <v>245335.5846847342</v>
      </c>
      <c r="F236" s="4">
        <f>('Owner Occupier'!$H$24-'Owner Occupier'!$D$52)/('Owner Occupier'!$D$56-'Owner Occupier'!$D$52)*B236</f>
        <v>707.83655619117235</v>
      </c>
      <c r="G236" s="4">
        <f t="shared" si="11"/>
        <v>112561.94534795772</v>
      </c>
    </row>
    <row r="237" spans="1:7" x14ac:dyDescent="0.25">
      <c r="A237">
        <v>234</v>
      </c>
      <c r="B237" s="4">
        <f>-PPMT('Owner Occupier'!$D$41/12,'FHA Amotization'!$A237,360,'Owner Occupier'!$D$40,0,0)</f>
        <v>1533.1489595274222</v>
      </c>
      <c r="C237" s="4">
        <f>-IPMT('Owner Occupier'!$D$41/12,'FHA Amotization'!$A237,360,'Owner Occupier'!$D$40,0,0)</f>
        <v>868.89686242509936</v>
      </c>
      <c r="D237" s="4">
        <f t="shared" si="9"/>
        <v>2402.0458219525217</v>
      </c>
      <c r="E237" s="3">
        <f t="shared" si="10"/>
        <v>243802.43572520677</v>
      </c>
      <c r="F237" s="4">
        <f>('Owner Occupier'!$H$24-'Owner Occupier'!$D$52)/('Owner Occupier'!$D$56-'Owner Occupier'!$D$52)*B237</f>
        <v>710.34347732768276</v>
      </c>
      <c r="G237" s="4">
        <f t="shared" si="11"/>
        <v>113272.2888252854</v>
      </c>
    </row>
    <row r="238" spans="1:7" x14ac:dyDescent="0.25">
      <c r="A238">
        <v>235</v>
      </c>
      <c r="B238" s="4">
        <f>-PPMT('Owner Occupier'!$D$41/12,'FHA Amotization'!$A238,360,'Owner Occupier'!$D$40,0,0)</f>
        <v>1538.5788620924152</v>
      </c>
      <c r="C238" s="4">
        <f>-IPMT('Owner Occupier'!$D$41/12,'FHA Amotization'!$A238,360,'Owner Occupier'!$D$40,0,0)</f>
        <v>863.4669598601065</v>
      </c>
      <c r="D238" s="4">
        <f t="shared" si="9"/>
        <v>2402.0458219525217</v>
      </c>
      <c r="E238" s="3">
        <f t="shared" si="10"/>
        <v>242263.85686311434</v>
      </c>
      <c r="F238" s="4">
        <f>('Owner Occupier'!$H$24-'Owner Occupier'!$D$52)/('Owner Occupier'!$D$56-'Owner Occupier'!$D$52)*B238</f>
        <v>712.85927714321826</v>
      </c>
      <c r="G238" s="4">
        <f t="shared" si="11"/>
        <v>113985.14810242862</v>
      </c>
    </row>
    <row r="239" spans="1:7" x14ac:dyDescent="0.25">
      <c r="A239">
        <v>236</v>
      </c>
      <c r="B239" s="4">
        <f>-PPMT('Owner Occupier'!$D$41/12,'FHA Amotization'!$A239,360,'Owner Occupier'!$D$40,0,0)</f>
        <v>1544.0279955623255</v>
      </c>
      <c r="C239" s="4">
        <f>-IPMT('Owner Occupier'!$D$41/12,'FHA Amotization'!$A239,360,'Owner Occupier'!$D$40,0,0)</f>
        <v>858.01782639019575</v>
      </c>
      <c r="D239" s="4">
        <f t="shared" si="9"/>
        <v>2402.0458219525212</v>
      </c>
      <c r="E239" s="3">
        <f t="shared" si="10"/>
        <v>240719.82886755202</v>
      </c>
      <c r="F239" s="4">
        <f>('Owner Occupier'!$H$24-'Owner Occupier'!$D$52)/('Owner Occupier'!$D$56-'Owner Occupier'!$D$52)*B239</f>
        <v>715.38398708310035</v>
      </c>
      <c r="G239" s="4">
        <f t="shared" si="11"/>
        <v>114700.53208951172</v>
      </c>
    </row>
    <row r="240" spans="1:7" x14ac:dyDescent="0.25">
      <c r="A240">
        <v>237</v>
      </c>
      <c r="B240" s="4">
        <f>-PPMT('Owner Occupier'!$D$41/12,'FHA Amotization'!$A240,360,'Owner Occupier'!$D$40,0,0)</f>
        <v>1549.4964280466086</v>
      </c>
      <c r="C240" s="4">
        <f>-IPMT('Owner Occupier'!$D$41/12,'FHA Amotization'!$A240,360,'Owner Occupier'!$D$40,0,0)</f>
        <v>852.54939390591255</v>
      </c>
      <c r="D240" s="4">
        <f t="shared" si="9"/>
        <v>2402.0458219525212</v>
      </c>
      <c r="E240" s="3">
        <f t="shared" si="10"/>
        <v>239170.33243950541</v>
      </c>
      <c r="F240" s="4">
        <f>('Owner Occupier'!$H$24-'Owner Occupier'!$D$52)/('Owner Occupier'!$D$56-'Owner Occupier'!$D$52)*B240</f>
        <v>717.91763870401962</v>
      </c>
      <c r="G240" s="4">
        <f t="shared" si="11"/>
        <v>115418.44972821574</v>
      </c>
    </row>
    <row r="241" spans="1:7" x14ac:dyDescent="0.25">
      <c r="A241">
        <v>238</v>
      </c>
      <c r="B241" s="4">
        <f>-PPMT('Owner Occupier'!$D$41/12,'FHA Amotization'!$A241,360,'Owner Occupier'!$D$40,0,0)</f>
        <v>1554.9842278959406</v>
      </c>
      <c r="C241" s="4">
        <f>-IPMT('Owner Occupier'!$D$41/12,'FHA Amotization'!$A241,360,'Owner Occupier'!$D$40,0,0)</f>
        <v>847.06159405658082</v>
      </c>
      <c r="D241" s="4">
        <f t="shared" si="9"/>
        <v>2402.0458219525217</v>
      </c>
      <c r="E241" s="3">
        <f t="shared" si="10"/>
        <v>237615.34821160947</v>
      </c>
      <c r="F241" s="4">
        <f>('Owner Occupier'!$H$24-'Owner Occupier'!$D$52)/('Owner Occupier'!$D$56-'Owner Occupier'!$D$52)*B241</f>
        <v>720.46026367442983</v>
      </c>
      <c r="G241" s="4">
        <f t="shared" si="11"/>
        <v>116138.90999189016</v>
      </c>
    </row>
    <row r="242" spans="1:7" x14ac:dyDescent="0.25">
      <c r="A242">
        <v>239</v>
      </c>
      <c r="B242" s="4">
        <f>-PPMT('Owner Occupier'!$D$41/12,'FHA Amotization'!$A242,360,'Owner Occupier'!$D$40,0,0)</f>
        <v>1560.491463703072</v>
      </c>
      <c r="C242" s="4">
        <f>-IPMT('Owner Occupier'!$D$41/12,'FHA Amotization'!$A242,360,'Owner Occupier'!$D$40,0,0)</f>
        <v>841.55435824944948</v>
      </c>
      <c r="D242" s="4">
        <f t="shared" si="9"/>
        <v>2402.0458219525217</v>
      </c>
      <c r="E242" s="3">
        <f t="shared" si="10"/>
        <v>236054.85674790639</v>
      </c>
      <c r="F242" s="4">
        <f>('Owner Occupier'!$H$24-'Owner Occupier'!$D$52)/('Owner Occupier'!$D$56-'Owner Occupier'!$D$52)*B242</f>
        <v>723.01189377494336</v>
      </c>
      <c r="G242" s="4">
        <f t="shared" si="11"/>
        <v>116861.92188566511</v>
      </c>
    </row>
    <row r="243" spans="1:7" x14ac:dyDescent="0.25">
      <c r="A243">
        <v>240</v>
      </c>
      <c r="B243" s="4">
        <f>-PPMT('Owner Occupier'!$D$41/12,'FHA Amotization'!$A243,360,'Owner Occupier'!$D$40,0,0)</f>
        <v>1566.0182043036871</v>
      </c>
      <c r="C243" s="4">
        <f>-IPMT('Owner Occupier'!$D$41/12,'FHA Amotization'!$A243,360,'Owner Occupier'!$D$40,0,0)</f>
        <v>836.02761764883428</v>
      </c>
      <c r="D243" s="4">
        <f t="shared" si="9"/>
        <v>2402.0458219525212</v>
      </c>
      <c r="E243" s="3">
        <f t="shared" si="10"/>
        <v>234488.8385436027</v>
      </c>
      <c r="F243" s="4">
        <f>('Owner Occupier'!$H$24-'Owner Occupier'!$D$52)/('Owner Occupier'!$D$56-'Owner Occupier'!$D$52)*B243</f>
        <v>725.57256089872965</v>
      </c>
      <c r="G243" s="4">
        <f t="shared" si="11"/>
        <v>117587.49444656384</v>
      </c>
    </row>
    <row r="244" spans="1:7" x14ac:dyDescent="0.25">
      <c r="A244">
        <v>241</v>
      </c>
      <c r="B244" s="4">
        <f>-PPMT('Owner Occupier'!$D$41/12,'FHA Amotization'!$A244,360,'Owner Occupier'!$D$40,0,0)</f>
        <v>1571.5645187772625</v>
      </c>
      <c r="C244" s="4">
        <f>-IPMT('Owner Occupier'!$D$41/12,'FHA Amotization'!$A244,360,'Owner Occupier'!$D$40,0,0)</f>
        <v>830.48130317525874</v>
      </c>
      <c r="D244" s="4">
        <f t="shared" si="9"/>
        <v>2402.0458219525212</v>
      </c>
      <c r="E244" s="3">
        <f t="shared" si="10"/>
        <v>232917.27402482543</v>
      </c>
      <c r="F244" s="4">
        <f>('Owner Occupier'!$H$24-'Owner Occupier'!$D$52)/('Owner Occupier'!$D$56-'Owner Occupier'!$D$52)*B244</f>
        <v>728.14229705191258</v>
      </c>
      <c r="G244" s="4">
        <f t="shared" si="11"/>
        <v>118315.63674361576</v>
      </c>
    </row>
    <row r="245" spans="1:7" x14ac:dyDescent="0.25">
      <c r="A245">
        <v>242</v>
      </c>
      <c r="B245" s="4">
        <f>-PPMT('Owner Occupier'!$D$41/12,'FHA Amotization'!$A245,360,'Owner Occupier'!$D$40,0,0)</f>
        <v>1577.1304764479321</v>
      </c>
      <c r="C245" s="4">
        <f>-IPMT('Owner Occupier'!$D$41/12,'FHA Amotization'!$A245,360,'Owner Occupier'!$D$40,0,0)</f>
        <v>824.91534550458925</v>
      </c>
      <c r="D245" s="4">
        <f t="shared" si="9"/>
        <v>2402.0458219525212</v>
      </c>
      <c r="E245" s="3">
        <f t="shared" si="10"/>
        <v>231340.1435483775</v>
      </c>
      <c r="F245" s="4">
        <f>('Owner Occupier'!$H$24-'Owner Occupier'!$D$52)/('Owner Occupier'!$D$56-'Owner Occupier'!$D$52)*B245</f>
        <v>730.72113435397159</v>
      </c>
      <c r="G245" s="4">
        <f t="shared" si="11"/>
        <v>119046.35787796973</v>
      </c>
    </row>
    <row r="246" spans="1:7" x14ac:dyDescent="0.25">
      <c r="A246">
        <v>243</v>
      </c>
      <c r="B246" s="4">
        <f>-PPMT('Owner Occupier'!$D$41/12,'FHA Amotization'!$A246,360,'Owner Occupier'!$D$40,0,0)</f>
        <v>1582.7161468853519</v>
      </c>
      <c r="C246" s="4">
        <f>-IPMT('Owner Occupier'!$D$41/12,'FHA Amotization'!$A246,360,'Owner Occupier'!$D$40,0,0)</f>
        <v>819.32967506716955</v>
      </c>
      <c r="D246" s="4">
        <f t="shared" si="9"/>
        <v>2402.0458219525217</v>
      </c>
      <c r="E246" s="3">
        <f t="shared" si="10"/>
        <v>229757.42740149214</v>
      </c>
      <c r="F246" s="4">
        <f>('Owner Occupier'!$H$24-'Owner Occupier'!$D$52)/('Owner Occupier'!$D$56-'Owner Occupier'!$D$52)*B246</f>
        <v>733.30910503814187</v>
      </c>
      <c r="G246" s="4">
        <f t="shared" si="11"/>
        <v>119779.66698300788</v>
      </c>
    </row>
    <row r="247" spans="1:7" x14ac:dyDescent="0.25">
      <c r="A247">
        <v>244</v>
      </c>
      <c r="B247" s="4">
        <f>-PPMT('Owner Occupier'!$D$41/12,'FHA Amotization'!$A247,360,'Owner Occupier'!$D$40,0,0)</f>
        <v>1588.3215999055708</v>
      </c>
      <c r="C247" s="4">
        <f>-IPMT('Owner Occupier'!$D$41/12,'FHA Amotization'!$A247,360,'Owner Occupier'!$D$40,0,0)</f>
        <v>813.72422204695056</v>
      </c>
      <c r="D247" s="4">
        <f t="shared" si="9"/>
        <v>2402.0458219525212</v>
      </c>
      <c r="E247" s="3">
        <f t="shared" si="10"/>
        <v>228169.10580158656</v>
      </c>
      <c r="F247" s="4">
        <f>('Owner Occupier'!$H$24-'Owner Occupier'!$D$52)/('Owner Occupier'!$D$56-'Owner Occupier'!$D$52)*B247</f>
        <v>735.90624145181857</v>
      </c>
      <c r="G247" s="4">
        <f t="shared" si="11"/>
        <v>120515.57322445969</v>
      </c>
    </row>
    <row r="248" spans="1:7" x14ac:dyDescent="0.25">
      <c r="A248">
        <v>245</v>
      </c>
      <c r="B248" s="4">
        <f>-PPMT('Owner Occupier'!$D$41/12,'FHA Amotization'!$A248,360,'Owner Occupier'!$D$40,0,0)</f>
        <v>1593.946905571903</v>
      </c>
      <c r="C248" s="4">
        <f>-IPMT('Owner Occupier'!$D$41/12,'FHA Amotization'!$A248,360,'Owner Occupier'!$D$40,0,0)</f>
        <v>808.09891638061833</v>
      </c>
      <c r="D248" s="4">
        <f t="shared" si="9"/>
        <v>2402.0458219525212</v>
      </c>
      <c r="E248" s="3">
        <f t="shared" si="10"/>
        <v>226575.15889601465</v>
      </c>
      <c r="F248" s="4">
        <f>('Owner Occupier'!$H$24-'Owner Occupier'!$D$52)/('Owner Occupier'!$D$56-'Owner Occupier'!$D$52)*B248</f>
        <v>738.51257605696048</v>
      </c>
      <c r="G248" s="4">
        <f t="shared" si="11"/>
        <v>121254.08580051665</v>
      </c>
    </row>
    <row r="249" spans="1:7" x14ac:dyDescent="0.25">
      <c r="A249">
        <v>246</v>
      </c>
      <c r="B249" s="4">
        <f>-PPMT('Owner Occupier'!$D$41/12,'FHA Amotization'!$A249,360,'Owner Occupier'!$D$40,0,0)</f>
        <v>1599.5921341958033</v>
      </c>
      <c r="C249" s="4">
        <f>-IPMT('Owner Occupier'!$D$41/12,'FHA Amotization'!$A249,360,'Owner Occupier'!$D$40,0,0)</f>
        <v>802.45368775671784</v>
      </c>
      <c r="D249" s="4">
        <f t="shared" si="9"/>
        <v>2402.0458219525212</v>
      </c>
      <c r="E249" s="3">
        <f t="shared" si="10"/>
        <v>224975.56676181883</v>
      </c>
      <c r="F249" s="4">
        <f>('Owner Occupier'!$H$24-'Owner Occupier'!$D$52)/('Owner Occupier'!$D$56-'Owner Occupier'!$D$52)*B249</f>
        <v>741.12814143049536</v>
      </c>
      <c r="G249" s="4">
        <f t="shared" si="11"/>
        <v>121995.21394194715</v>
      </c>
    </row>
    <row r="250" spans="1:7" x14ac:dyDescent="0.25">
      <c r="A250">
        <v>247</v>
      </c>
      <c r="B250" s="4">
        <f>-PPMT('Owner Occupier'!$D$41/12,'FHA Amotization'!$A250,360,'Owner Occupier'!$D$40,0,0)</f>
        <v>1605.2573563377468</v>
      </c>
      <c r="C250" s="4">
        <f>-IPMT('Owner Occupier'!$D$41/12,'FHA Amotization'!$A250,360,'Owner Occupier'!$D$40,0,0)</f>
        <v>796.78846561477451</v>
      </c>
      <c r="D250" s="4">
        <f t="shared" si="9"/>
        <v>2402.0458219525212</v>
      </c>
      <c r="E250" s="3">
        <f t="shared" si="10"/>
        <v>223370.30940548109</v>
      </c>
      <c r="F250" s="4">
        <f>('Owner Occupier'!$H$24-'Owner Occupier'!$D$52)/('Owner Occupier'!$D$56-'Owner Occupier'!$D$52)*B250</f>
        <v>743.75297026472845</v>
      </c>
      <c r="G250" s="4">
        <f t="shared" si="11"/>
        <v>122738.96691221188</v>
      </c>
    </row>
    <row r="251" spans="1:7" x14ac:dyDescent="0.25">
      <c r="A251">
        <v>248</v>
      </c>
      <c r="B251" s="4">
        <f>-PPMT('Owner Occupier'!$D$41/12,'FHA Amotization'!$A251,360,'Owner Occupier'!$D$40,0,0)</f>
        <v>1610.9426428081097</v>
      </c>
      <c r="C251" s="4">
        <f>-IPMT('Owner Occupier'!$D$41/12,'FHA Amotization'!$A251,360,'Owner Occupier'!$D$40,0,0)</f>
        <v>791.10317914441157</v>
      </c>
      <c r="D251" s="4">
        <f t="shared" si="9"/>
        <v>2402.0458219525212</v>
      </c>
      <c r="E251" s="3">
        <f t="shared" si="10"/>
        <v>221759.36676267299</v>
      </c>
      <c r="F251" s="4">
        <f>('Owner Occupier'!$H$24-'Owner Occupier'!$D$52)/('Owner Occupier'!$D$56-'Owner Occupier'!$D$52)*B251</f>
        <v>746.38709536774934</v>
      </c>
      <c r="G251" s="4">
        <f t="shared" si="11"/>
        <v>123485.35400757963</v>
      </c>
    </row>
    <row r="252" spans="1:7" x14ac:dyDescent="0.25">
      <c r="A252">
        <v>249</v>
      </c>
      <c r="B252" s="4">
        <f>-PPMT('Owner Occupier'!$D$41/12,'FHA Amotization'!$A252,360,'Owner Occupier'!$D$40,0,0)</f>
        <v>1616.6480646680554</v>
      </c>
      <c r="C252" s="4">
        <f>-IPMT('Owner Occupier'!$D$41/12,'FHA Amotization'!$A252,360,'Owner Occupier'!$D$40,0,0)</f>
        <v>785.39775728446614</v>
      </c>
      <c r="D252" s="4">
        <f t="shared" si="9"/>
        <v>2402.0458219525217</v>
      </c>
      <c r="E252" s="3">
        <f t="shared" si="10"/>
        <v>220142.71869800493</v>
      </c>
      <c r="F252" s="4">
        <f>('Owner Occupier'!$H$24-'Owner Occupier'!$D$52)/('Owner Occupier'!$D$56-'Owner Occupier'!$D$52)*B252</f>
        <v>749.03054966384366</v>
      </c>
      <c r="G252" s="4">
        <f t="shared" si="11"/>
        <v>124234.38455724348</v>
      </c>
    </row>
    <row r="253" spans="1:7" x14ac:dyDescent="0.25">
      <c r="A253">
        <v>250</v>
      </c>
      <c r="B253" s="4">
        <f>-PPMT('Owner Occupier'!$D$41/12,'FHA Amotization'!$A253,360,'Owner Occupier'!$D$40,0,0)</f>
        <v>1622.3736932304214</v>
      </c>
      <c r="C253" s="4">
        <f>-IPMT('Owner Occupier'!$D$41/12,'FHA Amotization'!$A253,360,'Owner Occupier'!$D$40,0,0)</f>
        <v>779.67212872210018</v>
      </c>
      <c r="D253" s="4">
        <f t="shared" si="9"/>
        <v>2402.0458219525217</v>
      </c>
      <c r="E253" s="3">
        <f t="shared" si="10"/>
        <v>218520.34500477451</v>
      </c>
      <c r="F253" s="4">
        <f>('Owner Occupier'!$H$24-'Owner Occupier'!$D$52)/('Owner Occupier'!$D$56-'Owner Occupier'!$D$52)*B253</f>
        <v>751.68336619390311</v>
      </c>
      <c r="G253" s="4">
        <f t="shared" si="11"/>
        <v>124986.06792343738</v>
      </c>
    </row>
    <row r="254" spans="1:7" x14ac:dyDescent="0.25">
      <c r="A254">
        <v>251</v>
      </c>
      <c r="B254" s="4">
        <f>-PPMT('Owner Occupier'!$D$41/12,'FHA Amotization'!$A254,360,'Owner Occupier'!$D$40,0,0)</f>
        <v>1628.1196000606124</v>
      </c>
      <c r="C254" s="4">
        <f>-IPMT('Owner Occupier'!$D$41/12,'FHA Amotization'!$A254,360,'Owner Occupier'!$D$40,0,0)</f>
        <v>773.92622189190922</v>
      </c>
      <c r="D254" s="4">
        <f t="shared" si="9"/>
        <v>2402.0458219525217</v>
      </c>
      <c r="E254" s="3">
        <f t="shared" si="10"/>
        <v>216892.22540471391</v>
      </c>
      <c r="F254" s="4">
        <f>('Owner Occupier'!$H$24-'Owner Occupier'!$D$52)/('Owner Occupier'!$D$56-'Owner Occupier'!$D$52)*B254</f>
        <v>754.34557811583977</v>
      </c>
      <c r="G254" s="4">
        <f t="shared" si="11"/>
        <v>125740.41350155322</v>
      </c>
    </row>
    <row r="255" spans="1:7" x14ac:dyDescent="0.25">
      <c r="A255">
        <v>252</v>
      </c>
      <c r="B255" s="4">
        <f>-PPMT('Owner Occupier'!$D$41/12,'FHA Amotization'!$A255,360,'Owner Occupier'!$D$40,0,0)</f>
        <v>1633.8858569774936</v>
      </c>
      <c r="C255" s="4">
        <f>-IPMT('Owner Occupier'!$D$41/12,'FHA Amotization'!$A255,360,'Owner Occupier'!$D$40,0,0)</f>
        <v>768.15996497502772</v>
      </c>
      <c r="D255" s="4">
        <f t="shared" si="9"/>
        <v>2402.0458219525212</v>
      </c>
      <c r="E255" s="3">
        <f t="shared" si="10"/>
        <v>215258.33954773642</v>
      </c>
      <c r="F255" s="4">
        <f>('Owner Occupier'!$H$24-'Owner Occupier'!$D$52)/('Owner Occupier'!$D$56-'Owner Occupier'!$D$52)*B255</f>
        <v>757.017218705</v>
      </c>
      <c r="G255" s="4">
        <f t="shared" si="11"/>
        <v>126497.43072025823</v>
      </c>
    </row>
    <row r="256" spans="1:7" x14ac:dyDescent="0.25">
      <c r="A256">
        <v>253</v>
      </c>
      <c r="B256" s="4">
        <f>-PPMT('Owner Occupier'!$D$41/12,'FHA Amotization'!$A256,360,'Owner Occupier'!$D$40,0,0)</f>
        <v>1639.6725360542889</v>
      </c>
      <c r="C256" s="4">
        <f>-IPMT('Owner Occupier'!$D$41/12,'FHA Amotization'!$A256,360,'Owner Occupier'!$D$40,0,0)</f>
        <v>762.37328589823244</v>
      </c>
      <c r="D256" s="4">
        <f t="shared" si="9"/>
        <v>2402.0458219525212</v>
      </c>
      <c r="E256" s="3">
        <f t="shared" si="10"/>
        <v>213618.66701168215</v>
      </c>
      <c r="F256" s="4">
        <f>('Owner Occupier'!$H$24-'Owner Occupier'!$D$52)/('Owner Occupier'!$D$56-'Owner Occupier'!$D$52)*B256</f>
        <v>759.69832135458023</v>
      </c>
      <c r="G256" s="4">
        <f t="shared" si="11"/>
        <v>127257.1290416128</v>
      </c>
    </row>
    <row r="257" spans="1:7" x14ac:dyDescent="0.25">
      <c r="A257">
        <v>254</v>
      </c>
      <c r="B257" s="4">
        <f>-PPMT('Owner Occupier'!$D$41/12,'FHA Amotization'!$A257,360,'Owner Occupier'!$D$40,0,0)</f>
        <v>1645.4797096194814</v>
      </c>
      <c r="C257" s="4">
        <f>-IPMT('Owner Occupier'!$D$41/12,'FHA Amotization'!$A257,360,'Owner Occupier'!$D$40,0,0)</f>
        <v>756.56611233304022</v>
      </c>
      <c r="D257" s="4">
        <f t="shared" si="9"/>
        <v>2402.0458219525217</v>
      </c>
      <c r="E257" s="3">
        <f t="shared" si="10"/>
        <v>211973.18730206267</v>
      </c>
      <c r="F257" s="4">
        <f>('Owner Occupier'!$H$24-'Owner Occupier'!$D$52)/('Owner Occupier'!$D$56-'Owner Occupier'!$D$52)*B257</f>
        <v>762.38891957604437</v>
      </c>
      <c r="G257" s="4">
        <f t="shared" si="11"/>
        <v>128019.51796118885</v>
      </c>
    </row>
    <row r="258" spans="1:7" x14ac:dyDescent="0.25">
      <c r="A258">
        <v>255</v>
      </c>
      <c r="B258" s="4">
        <f>-PPMT('Owner Occupier'!$D$41/12,'FHA Amotization'!$A258,360,'Owner Occupier'!$D$40,0,0)</f>
        <v>1651.3074502577169</v>
      </c>
      <c r="C258" s="4">
        <f>-IPMT('Owner Occupier'!$D$41/12,'FHA Amotization'!$A258,360,'Owner Occupier'!$D$40,0,0)</f>
        <v>750.73837169480441</v>
      </c>
      <c r="D258" s="4">
        <f t="shared" si="9"/>
        <v>2402.0458219525212</v>
      </c>
      <c r="E258" s="3">
        <f t="shared" si="10"/>
        <v>210321.87985180496</v>
      </c>
      <c r="F258" s="4">
        <f>('Owner Occupier'!$H$24-'Owner Occupier'!$D$52)/('Owner Occupier'!$D$56-'Owner Occupier'!$D$52)*B258</f>
        <v>765.08904699954292</v>
      </c>
      <c r="G258" s="4">
        <f t="shared" si="11"/>
        <v>128784.60700818838</v>
      </c>
    </row>
    <row r="259" spans="1:7" x14ac:dyDescent="0.25">
      <c r="A259">
        <v>256</v>
      </c>
      <c r="B259" s="4">
        <f>-PPMT('Owner Occupier'!$D$41/12,'FHA Amotization'!$A259,360,'Owner Occupier'!$D$40,0,0)</f>
        <v>1657.155830810713</v>
      </c>
      <c r="C259" s="4">
        <f>-IPMT('Owner Occupier'!$D$41/12,'FHA Amotization'!$A259,360,'Owner Occupier'!$D$40,0,0)</f>
        <v>744.8899911418082</v>
      </c>
      <c r="D259" s="4">
        <f t="shared" si="9"/>
        <v>2402.0458219525212</v>
      </c>
      <c r="E259" s="3">
        <f t="shared" si="10"/>
        <v>208664.72402099424</v>
      </c>
      <c r="F259" s="4">
        <f>('Owner Occupier'!$H$24-'Owner Occupier'!$D$52)/('Owner Occupier'!$D$56-'Owner Occupier'!$D$52)*B259</f>
        <v>767.79873737433297</v>
      </c>
      <c r="G259" s="4">
        <f t="shared" si="11"/>
        <v>129552.40574556272</v>
      </c>
    </row>
    <row r="260" spans="1:7" x14ac:dyDescent="0.25">
      <c r="A260">
        <v>257</v>
      </c>
      <c r="B260" s="4">
        <f>-PPMT('Owner Occupier'!$D$41/12,'FHA Amotization'!$A260,360,'Owner Occupier'!$D$40,0,0)</f>
        <v>1663.024924378168</v>
      </c>
      <c r="C260" s="4">
        <f>-IPMT('Owner Occupier'!$D$41/12,'FHA Amotization'!$A260,360,'Owner Occupier'!$D$40,0,0)</f>
        <v>739.02089757435374</v>
      </c>
      <c r="D260" s="4">
        <f t="shared" si="9"/>
        <v>2402.0458219525217</v>
      </c>
      <c r="E260" s="3">
        <f t="shared" si="10"/>
        <v>207001.69909661607</v>
      </c>
      <c r="F260" s="4">
        <f>('Owner Occupier'!$H$24-'Owner Occupier'!$D$52)/('Owner Occupier'!$D$56-'Owner Occupier'!$D$52)*B260</f>
        <v>770.51802456920052</v>
      </c>
      <c r="G260" s="4">
        <f t="shared" si="11"/>
        <v>130322.92377013192</v>
      </c>
    </row>
    <row r="261" spans="1:7" x14ac:dyDescent="0.25">
      <c r="A261">
        <v>258</v>
      </c>
      <c r="B261" s="4">
        <f>-PPMT('Owner Occupier'!$D$41/12,'FHA Amotization'!$A261,360,'Owner Occupier'!$D$40,0,0)</f>
        <v>1668.9148043186738</v>
      </c>
      <c r="C261" s="4">
        <f>-IPMT('Owner Occupier'!$D$41/12,'FHA Amotization'!$A261,360,'Owner Occupier'!$D$40,0,0)</f>
        <v>733.1310176338477</v>
      </c>
      <c r="D261" s="4">
        <f t="shared" ref="D261:D324" si="12">B261+C261</f>
        <v>2402.0458219525217</v>
      </c>
      <c r="E261" s="3">
        <f t="shared" si="10"/>
        <v>205332.78429229738</v>
      </c>
      <c r="F261" s="4">
        <f>('Owner Occupier'!$H$24-'Owner Occupier'!$D$52)/('Owner Occupier'!$D$56-'Owner Occupier'!$D$52)*B261</f>
        <v>773.24694257288297</v>
      </c>
      <c r="G261" s="4">
        <f t="shared" si="11"/>
        <v>131096.1707127048</v>
      </c>
    </row>
    <row r="262" spans="1:7" x14ac:dyDescent="0.25">
      <c r="A262">
        <v>259</v>
      </c>
      <c r="B262" s="4">
        <f>-PPMT('Owner Occupier'!$D$41/12,'FHA Amotization'!$A262,360,'Owner Occupier'!$D$40,0,0)</f>
        <v>1674.8255442506356</v>
      </c>
      <c r="C262" s="4">
        <f>-IPMT('Owner Occupier'!$D$41/12,'FHA Amotization'!$A262,360,'Owner Occupier'!$D$40,0,0)</f>
        <v>727.22027770188572</v>
      </c>
      <c r="D262" s="4">
        <f t="shared" si="12"/>
        <v>2402.0458219525212</v>
      </c>
      <c r="E262" s="3">
        <f t="shared" ref="E262:E325" si="13">E261-B262</f>
        <v>203657.95874804675</v>
      </c>
      <c r="F262" s="4">
        <f>('Owner Occupier'!$H$24-'Owner Occupier'!$D$52)/('Owner Occupier'!$D$56-'Owner Occupier'!$D$52)*B262</f>
        <v>775.98552549449528</v>
      </c>
      <c r="G262" s="4">
        <f t="shared" ref="G262:G325" si="14">F262+G261</f>
        <v>131872.1562381993</v>
      </c>
    </row>
    <row r="263" spans="1:7" x14ac:dyDescent="0.25">
      <c r="A263">
        <v>260</v>
      </c>
      <c r="B263" s="4">
        <f>-PPMT('Owner Occupier'!$D$41/12,'FHA Amotization'!$A263,360,'Owner Occupier'!$D$40,0,0)</f>
        <v>1680.7572180531899</v>
      </c>
      <c r="C263" s="4">
        <f>-IPMT('Owner Occupier'!$D$41/12,'FHA Amotization'!$A263,360,'Owner Occupier'!$D$40,0,0)</f>
        <v>721.28860389933129</v>
      </c>
      <c r="D263" s="4">
        <f t="shared" si="12"/>
        <v>2402.0458219525212</v>
      </c>
      <c r="E263" s="3">
        <f t="shared" si="13"/>
        <v>201977.20152999356</v>
      </c>
      <c r="F263" s="4">
        <f>('Owner Occupier'!$H$24-'Owner Occupier'!$D$52)/('Owner Occupier'!$D$56-'Owner Occupier'!$D$52)*B263</f>
        <v>778.73380756395488</v>
      </c>
      <c r="G263" s="4">
        <f t="shared" si="14"/>
        <v>132650.89004576326</v>
      </c>
    </row>
    <row r="264" spans="1:7" x14ac:dyDescent="0.25">
      <c r="A264">
        <v>261</v>
      </c>
      <c r="B264" s="4">
        <f>-PPMT('Owner Occupier'!$D$41/12,'FHA Amotization'!$A264,360,'Owner Occupier'!$D$40,0,0)</f>
        <v>1686.7098998671283</v>
      </c>
      <c r="C264" s="4">
        <f>-IPMT('Owner Occupier'!$D$41/12,'FHA Amotization'!$A264,360,'Owner Occupier'!$D$40,0,0)</f>
        <v>715.33592208539301</v>
      </c>
      <c r="D264" s="4">
        <f t="shared" si="12"/>
        <v>2402.0458219525212</v>
      </c>
      <c r="E264" s="3">
        <f t="shared" si="13"/>
        <v>200290.49163012643</v>
      </c>
      <c r="F264" s="4">
        <f>('Owner Occupier'!$H$24-'Owner Occupier'!$D$52)/('Owner Occupier'!$D$56-'Owner Occupier'!$D$52)*B264</f>
        <v>781.49182313241056</v>
      </c>
      <c r="G264" s="4">
        <f t="shared" si="14"/>
        <v>133432.38186889567</v>
      </c>
    </row>
    <row r="265" spans="1:7" x14ac:dyDescent="0.25">
      <c r="A265">
        <v>262</v>
      </c>
      <c r="B265" s="4">
        <f>-PPMT('Owner Occupier'!$D$41/12,'FHA Amotization'!$A265,360,'Owner Occupier'!$D$40,0,0)</f>
        <v>1692.6836640958245</v>
      </c>
      <c r="C265" s="4">
        <f>-IPMT('Owner Occupier'!$D$41/12,'FHA Amotization'!$A265,360,'Owner Occupier'!$D$40,0,0)</f>
        <v>709.36215785669685</v>
      </c>
      <c r="D265" s="4">
        <f t="shared" si="12"/>
        <v>2402.0458219525212</v>
      </c>
      <c r="E265" s="3">
        <f t="shared" si="13"/>
        <v>198597.80796603061</v>
      </c>
      <c r="F265" s="4">
        <f>('Owner Occupier'!$H$24-'Owner Occupier'!$D$52)/('Owner Occupier'!$D$56-'Owner Occupier'!$D$52)*B265</f>
        <v>784.25960667267123</v>
      </c>
      <c r="G265" s="4">
        <f t="shared" si="14"/>
        <v>134216.64147556835</v>
      </c>
    </row>
    <row r="266" spans="1:7" x14ac:dyDescent="0.25">
      <c r="A266">
        <v>263</v>
      </c>
      <c r="B266" s="4">
        <f>-PPMT('Owner Occupier'!$D$41/12,'FHA Amotization'!$A266,360,'Owner Occupier'!$D$40,0,0)</f>
        <v>1698.6785854061638</v>
      </c>
      <c r="C266" s="4">
        <f>-IPMT('Owner Occupier'!$D$41/12,'FHA Amotization'!$A266,360,'Owner Occupier'!$D$40,0,0)</f>
        <v>703.36723654635762</v>
      </c>
      <c r="D266" s="4">
        <f t="shared" si="12"/>
        <v>2402.0458219525217</v>
      </c>
      <c r="E266" s="3">
        <f t="shared" si="13"/>
        <v>196899.12938062445</v>
      </c>
      <c r="F266" s="4">
        <f>('Owner Occupier'!$H$24-'Owner Occupier'!$D$52)/('Owner Occupier'!$D$56-'Owner Occupier'!$D$52)*B266</f>
        <v>787.03719277963694</v>
      </c>
      <c r="G266" s="4">
        <f t="shared" si="14"/>
        <v>135003.678668348</v>
      </c>
    </row>
    <row r="267" spans="1:7" x14ac:dyDescent="0.25">
      <c r="A267">
        <v>264</v>
      </c>
      <c r="B267" s="4">
        <f>-PPMT('Owner Occupier'!$D$41/12,'FHA Amotization'!$A267,360,'Owner Occupier'!$D$40,0,0)</f>
        <v>1704.6947387294774</v>
      </c>
      <c r="C267" s="4">
        <f>-IPMT('Owner Occupier'!$D$41/12,'FHA Amotization'!$A267,360,'Owner Occupier'!$D$40,0,0)</f>
        <v>697.35108322304416</v>
      </c>
      <c r="D267" s="4">
        <f t="shared" si="12"/>
        <v>2402.0458219525217</v>
      </c>
      <c r="E267" s="3">
        <f t="shared" si="13"/>
        <v>195194.43464189497</v>
      </c>
      <c r="F267" s="4">
        <f>('Owner Occupier'!$H$24-'Owner Occupier'!$D$52)/('Owner Occupier'!$D$56-'Owner Occupier'!$D$52)*B267</f>
        <v>789.82461617073147</v>
      </c>
      <c r="G267" s="4">
        <f t="shared" si="14"/>
        <v>135793.50328451872</v>
      </c>
    </row>
    <row r="268" spans="1:7" x14ac:dyDescent="0.25">
      <c r="A268">
        <v>265</v>
      </c>
      <c r="B268" s="4">
        <f>-PPMT('Owner Occupier'!$D$41/12,'FHA Amotization'!$A268,360,'Owner Occupier'!$D$40,0,0)</f>
        <v>1710.7321992624775</v>
      </c>
      <c r="C268" s="4">
        <f>-IPMT('Owner Occupier'!$D$41/12,'FHA Amotization'!$A268,360,'Owner Occupier'!$D$40,0,0)</f>
        <v>691.31362269004376</v>
      </c>
      <c r="D268" s="4">
        <f t="shared" si="12"/>
        <v>2402.0458219525212</v>
      </c>
      <c r="E268" s="3">
        <f t="shared" si="13"/>
        <v>193483.70244263249</v>
      </c>
      <c r="F268" s="4">
        <f>('Owner Occupier'!$H$24-'Owner Occupier'!$D$52)/('Owner Occupier'!$D$56-'Owner Occupier'!$D$52)*B268</f>
        <v>792.62191168633615</v>
      </c>
      <c r="G268" s="4">
        <f t="shared" si="14"/>
        <v>136586.12519620507</v>
      </c>
    </row>
    <row r="269" spans="1:7" x14ac:dyDescent="0.25">
      <c r="A269">
        <v>266</v>
      </c>
      <c r="B269" s="4">
        <f>-PPMT('Owner Occupier'!$D$41/12,'FHA Amotization'!$A269,360,'Owner Occupier'!$D$40,0,0)</f>
        <v>1716.7910424681988</v>
      </c>
      <c r="C269" s="4">
        <f>-IPMT('Owner Occupier'!$D$41/12,'FHA Amotization'!$A269,360,'Owner Occupier'!$D$40,0,0)</f>
        <v>685.25477948432251</v>
      </c>
      <c r="D269" s="4">
        <f t="shared" si="12"/>
        <v>2402.0458219525212</v>
      </c>
      <c r="E269" s="3">
        <f t="shared" si="13"/>
        <v>191766.9114001643</v>
      </c>
      <c r="F269" s="4">
        <f>('Owner Occupier'!$H$24-'Owner Occupier'!$D$52)/('Owner Occupier'!$D$56-'Owner Occupier'!$D$52)*B269</f>
        <v>795.42911429022524</v>
      </c>
      <c r="G269" s="4">
        <f t="shared" si="14"/>
        <v>137381.5543104953</v>
      </c>
    </row>
    <row r="270" spans="1:7" x14ac:dyDescent="0.25">
      <c r="A270">
        <v>267</v>
      </c>
      <c r="B270" s="4">
        <f>-PPMT('Owner Occupier'!$D$41/12,'FHA Amotization'!$A270,360,'Owner Occupier'!$D$40,0,0)</f>
        <v>1722.8713440769404</v>
      </c>
      <c r="C270" s="4">
        <f>-IPMT('Owner Occupier'!$D$41/12,'FHA Amotization'!$A270,360,'Owner Occupier'!$D$40,0,0)</f>
        <v>679.17447787558103</v>
      </c>
      <c r="D270" s="4">
        <f t="shared" si="12"/>
        <v>2402.0458219525217</v>
      </c>
      <c r="E270" s="3">
        <f t="shared" si="13"/>
        <v>190044.04005608737</v>
      </c>
      <c r="F270" s="4">
        <f>('Owner Occupier'!$H$24-'Owner Occupier'!$D$52)/('Owner Occupier'!$D$56-'Owner Occupier'!$D$52)*B270</f>
        <v>798.24625907000313</v>
      </c>
      <c r="G270" s="4">
        <f t="shared" si="14"/>
        <v>138179.8005695653</v>
      </c>
    </row>
    <row r="271" spans="1:7" x14ac:dyDescent="0.25">
      <c r="A271">
        <v>268</v>
      </c>
      <c r="B271" s="4">
        <f>-PPMT('Owner Occupier'!$D$41/12,'FHA Amotization'!$A271,360,'Owner Occupier'!$D$40,0,0)</f>
        <v>1728.973180087213</v>
      </c>
      <c r="C271" s="4">
        <f>-IPMT('Owner Occupier'!$D$41/12,'FHA Amotization'!$A271,360,'Owner Occupier'!$D$40,0,0)</f>
        <v>673.07264186530858</v>
      </c>
      <c r="D271" s="4">
        <f t="shared" si="12"/>
        <v>2402.0458219525217</v>
      </c>
      <c r="E271" s="3">
        <f t="shared" si="13"/>
        <v>188315.06687600014</v>
      </c>
      <c r="F271" s="4">
        <f>('Owner Occupier'!$H$24-'Owner Occupier'!$D$52)/('Owner Occupier'!$D$56-'Owner Occupier'!$D$52)*B271</f>
        <v>801.07338123754278</v>
      </c>
      <c r="G271" s="4">
        <f t="shared" si="14"/>
        <v>138980.87395080284</v>
      </c>
    </row>
    <row r="272" spans="1:7" x14ac:dyDescent="0.25">
      <c r="A272">
        <v>269</v>
      </c>
      <c r="B272" s="4">
        <f>-PPMT('Owner Occupier'!$D$41/12,'FHA Amotization'!$A272,360,'Owner Occupier'!$D$40,0,0)</f>
        <v>1735.0966267666886</v>
      </c>
      <c r="C272" s="4">
        <f>-IPMT('Owner Occupier'!$D$41/12,'FHA Amotization'!$A272,360,'Owner Occupier'!$D$40,0,0)</f>
        <v>666.9491951858331</v>
      </c>
      <c r="D272" s="4">
        <f t="shared" si="12"/>
        <v>2402.0458219525217</v>
      </c>
      <c r="E272" s="3">
        <f t="shared" si="13"/>
        <v>186579.97024923345</v>
      </c>
      <c r="F272" s="4">
        <f>('Owner Occupier'!$H$24-'Owner Occupier'!$D$52)/('Owner Occupier'!$D$56-'Owner Occupier'!$D$52)*B272</f>
        <v>803.91051612942579</v>
      </c>
      <c r="G272" s="4">
        <f t="shared" si="14"/>
        <v>139784.78446693227</v>
      </c>
    </row>
    <row r="273" spans="1:7" x14ac:dyDescent="0.25">
      <c r="A273">
        <v>270</v>
      </c>
      <c r="B273" s="4">
        <f>-PPMT('Owner Occupier'!$D$41/12,'FHA Amotization'!$A273,360,'Owner Occupier'!$D$40,0,0)</f>
        <v>1741.2417606531535</v>
      </c>
      <c r="C273" s="4">
        <f>-IPMT('Owner Occupier'!$D$41/12,'FHA Amotization'!$A273,360,'Owner Occupier'!$D$40,0,0)</f>
        <v>660.80406129936762</v>
      </c>
      <c r="D273" s="4">
        <f t="shared" si="12"/>
        <v>2402.0458219525212</v>
      </c>
      <c r="E273" s="3">
        <f t="shared" si="13"/>
        <v>184838.72848858029</v>
      </c>
      <c r="F273" s="4">
        <f>('Owner Occupier'!$H$24-'Owner Occupier'!$D$52)/('Owner Occupier'!$D$56-'Owner Occupier'!$D$52)*B273</f>
        <v>806.75769920738389</v>
      </c>
      <c r="G273" s="4">
        <f t="shared" si="14"/>
        <v>140591.54216613964</v>
      </c>
    </row>
    <row r="274" spans="1:7" x14ac:dyDescent="0.25">
      <c r="A274">
        <v>271</v>
      </c>
      <c r="B274" s="4">
        <f>-PPMT('Owner Occupier'!$D$41/12,'FHA Amotization'!$A274,360,'Owner Occupier'!$D$40,0,0)</f>
        <v>1747.4086585554669</v>
      </c>
      <c r="C274" s="4">
        <f>-IPMT('Owner Occupier'!$D$41/12,'FHA Amotization'!$A274,360,'Owner Occupier'!$D$40,0,0)</f>
        <v>654.63716339705434</v>
      </c>
      <c r="D274" s="4">
        <f t="shared" si="12"/>
        <v>2402.0458219525212</v>
      </c>
      <c r="E274" s="3">
        <f t="shared" si="13"/>
        <v>183091.31983002482</v>
      </c>
      <c r="F274" s="4">
        <f>('Owner Occupier'!$H$24-'Owner Occupier'!$D$52)/('Owner Occupier'!$D$56-'Owner Occupier'!$D$52)*B274</f>
        <v>809.61496605874345</v>
      </c>
      <c r="G274" s="4">
        <f t="shared" si="14"/>
        <v>141401.15713219839</v>
      </c>
    </row>
    <row r="275" spans="1:7" x14ac:dyDescent="0.25">
      <c r="A275">
        <v>272</v>
      </c>
      <c r="B275" s="4">
        <f>-PPMT('Owner Occupier'!$D$41/12,'FHA Amotization'!$A275,360,'Owner Occupier'!$D$40,0,0)</f>
        <v>1753.5973975545178</v>
      </c>
      <c r="C275" s="4">
        <f>-IPMT('Owner Occupier'!$D$41/12,'FHA Amotization'!$A275,360,'Owner Occupier'!$D$40,0,0)</f>
        <v>648.44842439800379</v>
      </c>
      <c r="D275" s="4">
        <f t="shared" si="12"/>
        <v>2402.0458219525217</v>
      </c>
      <c r="E275" s="3">
        <f t="shared" si="13"/>
        <v>181337.7224324703</v>
      </c>
      <c r="F275" s="4">
        <f>('Owner Occupier'!$H$24-'Owner Occupier'!$D$52)/('Owner Occupier'!$D$56-'Owner Occupier'!$D$52)*B275</f>
        <v>812.48235239686835</v>
      </c>
      <c r="G275" s="4">
        <f t="shared" si="14"/>
        <v>142213.63948459527</v>
      </c>
    </row>
    <row r="276" spans="1:7" x14ac:dyDescent="0.25">
      <c r="A276">
        <v>273</v>
      </c>
      <c r="B276" s="4">
        <f>-PPMT('Owner Occupier'!$D$41/12,'FHA Amotization'!$A276,360,'Owner Occupier'!$D$40,0,0)</f>
        <v>1759.8080550041898</v>
      </c>
      <c r="C276" s="4">
        <f>-IPMT('Owner Occupier'!$D$41/12,'FHA Amotization'!$A276,360,'Owner Occupier'!$D$40,0,0)</f>
        <v>642.23776694833157</v>
      </c>
      <c r="D276" s="4">
        <f t="shared" si="12"/>
        <v>2402.0458219525212</v>
      </c>
      <c r="E276" s="3">
        <f t="shared" si="13"/>
        <v>179577.91437746611</v>
      </c>
      <c r="F276" s="4">
        <f>('Owner Occupier'!$H$24-'Owner Occupier'!$D$52)/('Owner Occupier'!$D$56-'Owner Occupier'!$D$52)*B276</f>
        <v>815.35989406160718</v>
      </c>
      <c r="G276" s="4">
        <f t="shared" si="14"/>
        <v>143028.99937865688</v>
      </c>
    </row>
    <row r="277" spans="1:7" x14ac:dyDescent="0.25">
      <c r="A277">
        <v>274</v>
      </c>
      <c r="B277" s="4">
        <f>-PPMT('Owner Occupier'!$D$41/12,'FHA Amotization'!$A277,360,'Owner Occupier'!$D$40,0,0)</f>
        <v>1766.0407085323295</v>
      </c>
      <c r="C277" s="4">
        <f>-IPMT('Owner Occupier'!$D$41/12,'FHA Amotization'!$A277,360,'Owner Occupier'!$D$40,0,0)</f>
        <v>636.00511342019183</v>
      </c>
      <c r="D277" s="4">
        <f t="shared" si="12"/>
        <v>2402.0458219525212</v>
      </c>
      <c r="E277" s="3">
        <f t="shared" si="13"/>
        <v>177811.87366893378</v>
      </c>
      <c r="F277" s="4">
        <f>('Owner Occupier'!$H$24-'Owner Occupier'!$D$52)/('Owner Occupier'!$D$56-'Owner Occupier'!$D$52)*B277</f>
        <v>818.24762701974191</v>
      </c>
      <c r="G277" s="4">
        <f t="shared" si="14"/>
        <v>143847.24700567662</v>
      </c>
    </row>
    <row r="278" spans="1:7" x14ac:dyDescent="0.25">
      <c r="A278">
        <v>275</v>
      </c>
      <c r="B278" s="4">
        <f>-PPMT('Owner Occupier'!$D$41/12,'FHA Amotization'!$A278,360,'Owner Occupier'!$D$40,0,0)</f>
        <v>1772.295436041715</v>
      </c>
      <c r="C278" s="4">
        <f>-IPMT('Owner Occupier'!$D$41/12,'FHA Amotization'!$A278,360,'Owner Occupier'!$D$40,0,0)</f>
        <v>629.75038591080636</v>
      </c>
      <c r="D278" s="4">
        <f t="shared" si="12"/>
        <v>2402.0458219525212</v>
      </c>
      <c r="E278" s="3">
        <f t="shared" si="13"/>
        <v>176039.57823289206</v>
      </c>
      <c r="F278" s="4">
        <f>('Owner Occupier'!$H$24-'Owner Occupier'!$D$52)/('Owner Occupier'!$D$56-'Owner Occupier'!$D$52)*B278</f>
        <v>821.14558736543688</v>
      </c>
      <c r="G278" s="4">
        <f t="shared" si="14"/>
        <v>144668.39259304205</v>
      </c>
    </row>
    <row r="279" spans="1:7" x14ac:dyDescent="0.25">
      <c r="A279">
        <v>276</v>
      </c>
      <c r="B279" s="4">
        <f>-PPMT('Owner Occupier'!$D$41/12,'FHA Amotization'!$A279,360,'Owner Occupier'!$D$40,0,0)</f>
        <v>1778.5723157110294</v>
      </c>
      <c r="C279" s="4">
        <f>-IPMT('Owner Occupier'!$D$41/12,'FHA Amotization'!$A279,360,'Owner Occupier'!$D$40,0,0)</f>
        <v>623.47350624149203</v>
      </c>
      <c r="D279" s="4">
        <f t="shared" si="12"/>
        <v>2402.0458219525217</v>
      </c>
      <c r="E279" s="3">
        <f t="shared" si="13"/>
        <v>174261.00591718103</v>
      </c>
      <c r="F279" s="4">
        <f>('Owner Occupier'!$H$24-'Owner Occupier'!$D$52)/('Owner Occupier'!$D$56-'Owner Occupier'!$D$52)*B279</f>
        <v>824.05381132068953</v>
      </c>
      <c r="G279" s="4">
        <f t="shared" si="14"/>
        <v>145492.44640436274</v>
      </c>
    </row>
    <row r="280" spans="1:7" x14ac:dyDescent="0.25">
      <c r="A280">
        <v>277</v>
      </c>
      <c r="B280" s="4">
        <f>-PPMT('Owner Occupier'!$D$41/12,'FHA Amotization'!$A280,360,'Owner Occupier'!$D$40,0,0)</f>
        <v>1784.8714259958394</v>
      </c>
      <c r="C280" s="4">
        <f>-IPMT('Owner Occupier'!$D$41/12,'FHA Amotization'!$A280,360,'Owner Occupier'!$D$40,0,0)</f>
        <v>617.17439595668213</v>
      </c>
      <c r="D280" s="4">
        <f t="shared" si="12"/>
        <v>2402.0458219525217</v>
      </c>
      <c r="E280" s="3">
        <f t="shared" si="13"/>
        <v>172476.13449118519</v>
      </c>
      <c r="F280" s="4">
        <f>('Owner Occupier'!$H$24-'Owner Occupier'!$D$52)/('Owner Occupier'!$D$56-'Owner Occupier'!$D$52)*B280</f>
        <v>826.9723352357837</v>
      </c>
      <c r="G280" s="4">
        <f t="shared" si="14"/>
        <v>146319.41873959854</v>
      </c>
    </row>
    <row r="281" spans="1:7" x14ac:dyDescent="0.25">
      <c r="A281">
        <v>278</v>
      </c>
      <c r="B281" s="4">
        <f>-PPMT('Owner Occupier'!$D$41/12,'FHA Amotization'!$A281,360,'Owner Occupier'!$D$40,0,0)</f>
        <v>1791.1928456295745</v>
      </c>
      <c r="C281" s="4">
        <f>-IPMT('Owner Occupier'!$D$41/12,'FHA Amotization'!$A281,360,'Owner Occupier'!$D$40,0,0)</f>
        <v>610.85297632294692</v>
      </c>
      <c r="D281" s="4">
        <f t="shared" si="12"/>
        <v>2402.0458219525217</v>
      </c>
      <c r="E281" s="3">
        <f t="shared" si="13"/>
        <v>170684.94164555561</v>
      </c>
      <c r="F281" s="4">
        <f>('Owner Occupier'!$H$24-'Owner Occupier'!$D$52)/('Owner Occupier'!$D$56-'Owner Occupier'!$D$52)*B281</f>
        <v>829.90119558974368</v>
      </c>
      <c r="G281" s="4">
        <f t="shared" si="14"/>
        <v>147149.31993518828</v>
      </c>
    </row>
    <row r="282" spans="1:7" x14ac:dyDescent="0.25">
      <c r="A282">
        <v>279</v>
      </c>
      <c r="B282" s="4">
        <f>-PPMT('Owner Occupier'!$D$41/12,'FHA Amotization'!$A282,360,'Owner Occupier'!$D$40,0,0)</f>
        <v>1797.5366536245128</v>
      </c>
      <c r="C282" s="4">
        <f>-IPMT('Owner Occupier'!$D$41/12,'FHA Amotization'!$A282,360,'Owner Occupier'!$D$40,0,0)</f>
        <v>604.50916832800874</v>
      </c>
      <c r="D282" s="4">
        <f t="shared" si="12"/>
        <v>2402.0458219525217</v>
      </c>
      <c r="E282" s="3">
        <f t="shared" si="13"/>
        <v>168887.40499193111</v>
      </c>
      <c r="F282" s="4">
        <f>('Owner Occupier'!$H$24-'Owner Occupier'!$D$52)/('Owner Occupier'!$D$56-'Owner Occupier'!$D$52)*B282</f>
        <v>832.84042899079077</v>
      </c>
      <c r="G282" s="4">
        <f t="shared" si="14"/>
        <v>147982.16036417906</v>
      </c>
    </row>
    <row r="283" spans="1:7" x14ac:dyDescent="0.25">
      <c r="A283">
        <v>280</v>
      </c>
      <c r="B283" s="4">
        <f>-PPMT('Owner Occupier'!$D$41/12,'FHA Amotization'!$A283,360,'Owner Occupier'!$D$40,0,0)</f>
        <v>1803.9029292727662</v>
      </c>
      <c r="C283" s="4">
        <f>-IPMT('Owner Occupier'!$D$41/12,'FHA Amotization'!$A283,360,'Owner Occupier'!$D$40,0,0)</f>
        <v>598.14289267975528</v>
      </c>
      <c r="D283" s="4">
        <f t="shared" si="12"/>
        <v>2402.0458219525217</v>
      </c>
      <c r="E283" s="3">
        <f t="shared" si="13"/>
        <v>167083.50206265834</v>
      </c>
      <c r="F283" s="4">
        <f>('Owner Occupier'!$H$24-'Owner Occupier'!$D$52)/('Owner Occupier'!$D$56-'Owner Occupier'!$D$52)*B283</f>
        <v>835.79007217679975</v>
      </c>
      <c r="G283" s="4">
        <f t="shared" si="14"/>
        <v>148817.95043635587</v>
      </c>
    </row>
    <row r="284" spans="1:7" x14ac:dyDescent="0.25">
      <c r="A284">
        <v>281</v>
      </c>
      <c r="B284" s="4">
        <f>-PPMT('Owner Occupier'!$D$41/12,'FHA Amotization'!$A284,360,'Owner Occupier'!$D$40,0,0)</f>
        <v>1810.2917521472739</v>
      </c>
      <c r="C284" s="4">
        <f>-IPMT('Owner Occupier'!$D$41/12,'FHA Amotization'!$A284,360,'Owner Occupier'!$D$40,0,0)</f>
        <v>591.75406980524747</v>
      </c>
      <c r="D284" s="4">
        <f t="shared" si="12"/>
        <v>2402.0458219525212</v>
      </c>
      <c r="E284" s="3">
        <f t="shared" si="13"/>
        <v>165273.21031051106</v>
      </c>
      <c r="F284" s="4">
        <f>('Owner Occupier'!$H$24-'Owner Occupier'!$D$52)/('Owner Occupier'!$D$56-'Owner Occupier'!$D$52)*B284</f>
        <v>838.75016201575932</v>
      </c>
      <c r="G284" s="4">
        <f t="shared" si="14"/>
        <v>149656.70059837162</v>
      </c>
    </row>
    <row r="285" spans="1:7" x14ac:dyDescent="0.25">
      <c r="A285">
        <v>282</v>
      </c>
      <c r="B285" s="4">
        <f>-PPMT('Owner Occupier'!$D$41/12,'FHA Amotization'!$A285,360,'Owner Occupier'!$D$40,0,0)</f>
        <v>1816.7032021027953</v>
      </c>
      <c r="C285" s="4">
        <f>-IPMT('Owner Occupier'!$D$41/12,'FHA Amotization'!$A285,360,'Owner Occupier'!$D$40,0,0)</f>
        <v>585.34261984972591</v>
      </c>
      <c r="D285" s="4">
        <f t="shared" si="12"/>
        <v>2402.0458219525212</v>
      </c>
      <c r="E285" s="3">
        <f t="shared" si="13"/>
        <v>163456.50710840826</v>
      </c>
      <c r="F285" s="4">
        <f>('Owner Occupier'!$H$24-'Owner Occupier'!$D$52)/('Owner Occupier'!$D$56-'Owner Occupier'!$D$52)*B285</f>
        <v>841.72073550623168</v>
      </c>
      <c r="G285" s="4">
        <f t="shared" si="14"/>
        <v>150498.42133387786</v>
      </c>
    </row>
    <row r="286" spans="1:7" x14ac:dyDescent="0.25">
      <c r="A286">
        <v>283</v>
      </c>
      <c r="B286" s="4">
        <f>-PPMT('Owner Occupier'!$D$41/12,'FHA Amotization'!$A286,360,'Owner Occupier'!$D$40,0,0)</f>
        <v>1823.1373592769096</v>
      </c>
      <c r="C286" s="4">
        <f>-IPMT('Owner Occupier'!$D$41/12,'FHA Amotization'!$A286,360,'Owner Occupier'!$D$40,0,0)</f>
        <v>578.90846267561176</v>
      </c>
      <c r="D286" s="4">
        <f t="shared" si="12"/>
        <v>2402.0458219525212</v>
      </c>
      <c r="E286" s="3">
        <f t="shared" si="13"/>
        <v>161633.36974913135</v>
      </c>
      <c r="F286" s="4">
        <f>('Owner Occupier'!$H$24-'Owner Occupier'!$D$52)/('Owner Occupier'!$D$56-'Owner Occupier'!$D$52)*B286</f>
        <v>844.70182977781633</v>
      </c>
      <c r="G286" s="4">
        <f t="shared" si="14"/>
        <v>151343.12316365569</v>
      </c>
    </row>
    <row r="287" spans="1:7" x14ac:dyDescent="0.25">
      <c r="A287">
        <v>284</v>
      </c>
      <c r="B287" s="4">
        <f>-PPMT('Owner Occupier'!$D$41/12,'FHA Amotization'!$A287,360,'Owner Occupier'!$D$40,0,0)</f>
        <v>1829.5943040910154</v>
      </c>
      <c r="C287" s="4">
        <f>-IPMT('Owner Occupier'!$D$41/12,'FHA Amotization'!$A287,360,'Owner Occupier'!$D$40,0,0)</f>
        <v>572.4515178615062</v>
      </c>
      <c r="D287" s="4">
        <f t="shared" si="12"/>
        <v>2402.0458219525217</v>
      </c>
      <c r="E287" s="3">
        <f t="shared" si="13"/>
        <v>159803.77544504034</v>
      </c>
      <c r="F287" s="4">
        <f>('Owner Occupier'!$H$24-'Owner Occupier'!$D$52)/('Owner Occupier'!$D$56-'Owner Occupier'!$D$52)*B287</f>
        <v>847.69348209161285</v>
      </c>
      <c r="G287" s="4">
        <f t="shared" si="14"/>
        <v>152190.81664574731</v>
      </c>
    </row>
    <row r="288" spans="1:7" x14ac:dyDescent="0.25">
      <c r="A288">
        <v>285</v>
      </c>
      <c r="B288" s="4">
        <f>-PPMT('Owner Occupier'!$D$41/12,'FHA Amotization'!$A288,360,'Owner Occupier'!$D$40,0,0)</f>
        <v>1836.0741172513376</v>
      </c>
      <c r="C288" s="4">
        <f>-IPMT('Owner Occupier'!$D$41/12,'FHA Amotization'!$A288,360,'Owner Occupier'!$D$40,0,0)</f>
        <v>565.97170470118385</v>
      </c>
      <c r="D288" s="4">
        <f t="shared" si="12"/>
        <v>2402.0458219525217</v>
      </c>
      <c r="E288" s="3">
        <f t="shared" si="13"/>
        <v>157967.70132778899</v>
      </c>
      <c r="F288" s="4">
        <f>('Owner Occupier'!$H$24-'Owner Occupier'!$D$52)/('Owner Occupier'!$D$56-'Owner Occupier'!$D$52)*B288</f>
        <v>850.69572984068725</v>
      </c>
      <c r="G288" s="4">
        <f t="shared" si="14"/>
        <v>153041.512375588</v>
      </c>
    </row>
    <row r="289" spans="1:7" x14ac:dyDescent="0.25">
      <c r="A289">
        <v>286</v>
      </c>
      <c r="B289" s="4">
        <f>-PPMT('Owner Occupier'!$D$41/12,'FHA Amotization'!$A289,360,'Owner Occupier'!$D$40,0,0)</f>
        <v>1842.5768797499361</v>
      </c>
      <c r="C289" s="4">
        <f>-IPMT('Owner Occupier'!$D$41/12,'FHA Amotization'!$A289,360,'Owner Occupier'!$D$40,0,0)</f>
        <v>559.46894220258537</v>
      </c>
      <c r="D289" s="4">
        <f t="shared" si="12"/>
        <v>2402.0458219525217</v>
      </c>
      <c r="E289" s="3">
        <f t="shared" si="13"/>
        <v>156125.12444803905</v>
      </c>
      <c r="F289" s="4">
        <f>('Owner Occupier'!$H$24-'Owner Occupier'!$D$52)/('Owner Occupier'!$D$56-'Owner Occupier'!$D$52)*B289</f>
        <v>853.70861055053967</v>
      </c>
      <c r="G289" s="4">
        <f t="shared" si="14"/>
        <v>153895.22098613853</v>
      </c>
    </row>
    <row r="290" spans="1:7" x14ac:dyDescent="0.25">
      <c r="A290">
        <v>287</v>
      </c>
      <c r="B290" s="4">
        <f>-PPMT('Owner Occupier'!$D$41/12,'FHA Amotization'!$A290,360,'Owner Occupier'!$D$40,0,0)</f>
        <v>1849.1026728657171</v>
      </c>
      <c r="C290" s="4">
        <f>-IPMT('Owner Occupier'!$D$41/12,'FHA Amotization'!$A290,360,'Owner Occupier'!$D$40,0,0)</f>
        <v>552.94314908680428</v>
      </c>
      <c r="D290" s="4">
        <f t="shared" si="12"/>
        <v>2402.0458219525212</v>
      </c>
      <c r="E290" s="3">
        <f t="shared" si="13"/>
        <v>154276.02177517331</v>
      </c>
      <c r="F290" s="4">
        <f>('Owner Occupier'!$H$24-'Owner Occupier'!$D$52)/('Owner Occupier'!$D$56-'Owner Occupier'!$D$52)*B290</f>
        <v>856.7321618795728</v>
      </c>
      <c r="G290" s="4">
        <f t="shared" si="14"/>
        <v>154751.9531480181</v>
      </c>
    </row>
    <row r="291" spans="1:7" x14ac:dyDescent="0.25">
      <c r="A291">
        <v>288</v>
      </c>
      <c r="B291" s="4">
        <f>-PPMT('Owner Occupier'!$D$41/12,'FHA Amotization'!$A291,360,'Owner Occupier'!$D$40,0,0)</f>
        <v>1855.65157816545</v>
      </c>
      <c r="C291" s="4">
        <f>-IPMT('Owner Occupier'!$D$41/12,'FHA Amotization'!$A291,360,'Owner Occupier'!$D$40,0,0)</f>
        <v>546.39424378707156</v>
      </c>
      <c r="D291" s="4">
        <f t="shared" si="12"/>
        <v>2402.0458219525217</v>
      </c>
      <c r="E291" s="3">
        <f t="shared" si="13"/>
        <v>152420.37019700787</v>
      </c>
      <c r="F291" s="4">
        <f>('Owner Occupier'!$H$24-'Owner Occupier'!$D$52)/('Owner Occupier'!$D$56-'Owner Occupier'!$D$52)*B291</f>
        <v>859.76642161956306</v>
      </c>
      <c r="G291" s="4">
        <f t="shared" si="14"/>
        <v>155611.71956963767</v>
      </c>
    </row>
    <row r="292" spans="1:7" x14ac:dyDescent="0.25">
      <c r="A292">
        <v>289</v>
      </c>
      <c r="B292" s="4">
        <f>-PPMT('Owner Occupier'!$D$41/12,'FHA Amotization'!$A292,360,'Owner Occupier'!$D$40,0,0)</f>
        <v>1862.2236775047859</v>
      </c>
      <c r="C292" s="4">
        <f>-IPMT('Owner Occupier'!$D$41/12,'FHA Amotization'!$A292,360,'Owner Occupier'!$D$40,0,0)</f>
        <v>539.82214444773547</v>
      </c>
      <c r="D292" s="4">
        <f t="shared" si="12"/>
        <v>2402.0458219525212</v>
      </c>
      <c r="E292" s="3">
        <f t="shared" si="13"/>
        <v>150558.14651950309</v>
      </c>
      <c r="F292" s="4">
        <f>('Owner Occupier'!$H$24-'Owner Occupier'!$D$52)/('Owner Occupier'!$D$56-'Owner Occupier'!$D$52)*B292</f>
        <v>862.81142769613223</v>
      </c>
      <c r="G292" s="4">
        <f t="shared" si="14"/>
        <v>156474.53099733382</v>
      </c>
    </row>
    <row r="293" spans="1:7" x14ac:dyDescent="0.25">
      <c r="A293">
        <v>290</v>
      </c>
      <c r="B293" s="4">
        <f>-PPMT('Owner Occupier'!$D$41/12,'FHA Amotization'!$A293,360,'Owner Occupier'!$D$40,0,0)</f>
        <v>1868.819053029282</v>
      </c>
      <c r="C293" s="4">
        <f>-IPMT('Owner Occupier'!$D$41/12,'FHA Amotization'!$A293,360,'Owner Occupier'!$D$40,0,0)</f>
        <v>533.22676892323955</v>
      </c>
      <c r="D293" s="4">
        <f t="shared" si="12"/>
        <v>2402.0458219525217</v>
      </c>
      <c r="E293" s="3">
        <f t="shared" si="13"/>
        <v>148689.3274664738</v>
      </c>
      <c r="F293" s="4">
        <f>('Owner Occupier'!$H$24-'Owner Occupier'!$D$52)/('Owner Occupier'!$D$56-'Owner Occupier'!$D$52)*B293</f>
        <v>865.86721816922272</v>
      </c>
      <c r="G293" s="4">
        <f t="shared" si="14"/>
        <v>157340.39821550302</v>
      </c>
    </row>
    <row r="294" spans="1:7" x14ac:dyDescent="0.25">
      <c r="A294">
        <v>291</v>
      </c>
      <c r="B294" s="4">
        <f>-PPMT('Owner Occupier'!$D$41/12,'FHA Amotization'!$A294,360,'Owner Occupier'!$D$40,0,0)</f>
        <v>1875.4377871754275</v>
      </c>
      <c r="C294" s="4">
        <f>-IPMT('Owner Occupier'!$D$41/12,'FHA Amotization'!$A294,360,'Owner Occupier'!$D$40,0,0)</f>
        <v>526.60803477709396</v>
      </c>
      <c r="D294" s="4">
        <f t="shared" si="12"/>
        <v>2402.0458219525217</v>
      </c>
      <c r="E294" s="3">
        <f t="shared" si="13"/>
        <v>146813.88967929836</v>
      </c>
      <c r="F294" s="4">
        <f>('Owner Occupier'!$H$24-'Owner Occupier'!$D$52)/('Owner Occupier'!$D$56-'Owner Occupier'!$D$52)*B294</f>
        <v>868.93383123357216</v>
      </c>
      <c r="G294" s="4">
        <f t="shared" si="14"/>
        <v>158209.33204673658</v>
      </c>
    </row>
    <row r="295" spans="1:7" x14ac:dyDescent="0.25">
      <c r="A295">
        <v>292</v>
      </c>
      <c r="B295" s="4">
        <f>-PPMT('Owner Occupier'!$D$41/12,'FHA Amotization'!$A295,360,'Owner Occupier'!$D$40,0,0)</f>
        <v>1882.0799626716737</v>
      </c>
      <c r="C295" s="4">
        <f>-IPMT('Owner Occupier'!$D$41/12,'FHA Amotization'!$A295,360,'Owner Occupier'!$D$40,0,0)</f>
        <v>519.96585928084767</v>
      </c>
      <c r="D295" s="4">
        <f t="shared" si="12"/>
        <v>2402.0458219525212</v>
      </c>
      <c r="E295" s="3">
        <f t="shared" si="13"/>
        <v>144931.80971662668</v>
      </c>
      <c r="F295" s="4">
        <f>('Owner Occupier'!$H$24-'Owner Occupier'!$D$52)/('Owner Occupier'!$D$56-'Owner Occupier'!$D$52)*B295</f>
        <v>872.01130521919094</v>
      </c>
      <c r="G295" s="4">
        <f t="shared" si="14"/>
        <v>159081.34335195579</v>
      </c>
    </row>
    <row r="296" spans="1:7" x14ac:dyDescent="0.25">
      <c r="A296">
        <v>293</v>
      </c>
      <c r="B296" s="4">
        <f>-PPMT('Owner Occupier'!$D$41/12,'FHA Amotization'!$A296,360,'Owner Occupier'!$D$40,0,0)</f>
        <v>1888.7456625394695</v>
      </c>
      <c r="C296" s="4">
        <f>-IPMT('Owner Occupier'!$D$41/12,'FHA Amotization'!$A296,360,'Owner Occupier'!$D$40,0,0)</f>
        <v>513.30015941305214</v>
      </c>
      <c r="D296" s="4">
        <f t="shared" si="12"/>
        <v>2402.0458219525217</v>
      </c>
      <c r="E296" s="3">
        <f t="shared" si="13"/>
        <v>143043.06405408721</v>
      </c>
      <c r="F296" s="4">
        <f>('Owner Occupier'!$H$24-'Owner Occupier'!$D$52)/('Owner Occupier'!$D$56-'Owner Occupier'!$D$52)*B296</f>
        <v>875.09967859184246</v>
      </c>
      <c r="G296" s="4">
        <f t="shared" si="14"/>
        <v>159956.44303054764</v>
      </c>
    </row>
    <row r="297" spans="1:7" x14ac:dyDescent="0.25">
      <c r="A297">
        <v>294</v>
      </c>
      <c r="B297" s="4">
        <f>-PPMT('Owner Occupier'!$D$41/12,'FHA Amotization'!$A297,360,'Owner Occupier'!$D$40,0,0)</f>
        <v>1895.4349700942964</v>
      </c>
      <c r="C297" s="4">
        <f>-IPMT('Owner Occupier'!$D$41/12,'FHA Amotization'!$A297,360,'Owner Occupier'!$D$40,0,0)</f>
        <v>506.61085185822498</v>
      </c>
      <c r="D297" s="4">
        <f t="shared" si="12"/>
        <v>2402.0458219525212</v>
      </c>
      <c r="E297" s="3">
        <f t="shared" si="13"/>
        <v>141147.62908399291</v>
      </c>
      <c r="F297" s="4">
        <f>('Owner Occupier'!$H$24-'Owner Occupier'!$D$52)/('Owner Occupier'!$D$56-'Owner Occupier'!$D$52)*B297</f>
        <v>878.19898995352173</v>
      </c>
      <c r="G297" s="4">
        <f t="shared" si="14"/>
        <v>160834.64202050117</v>
      </c>
    </row>
    <row r="298" spans="1:7" x14ac:dyDescent="0.25">
      <c r="A298">
        <v>295</v>
      </c>
      <c r="B298" s="4">
        <f>-PPMT('Owner Occupier'!$D$41/12,'FHA Amotization'!$A298,360,'Owner Occupier'!$D$40,0,0)</f>
        <v>1902.1479689467135</v>
      </c>
      <c r="C298" s="4">
        <f>-IPMT('Owner Occupier'!$D$41/12,'FHA Amotization'!$A298,360,'Owner Occupier'!$D$40,0,0)</f>
        <v>499.89785300580763</v>
      </c>
      <c r="D298" s="4">
        <f t="shared" si="12"/>
        <v>2402.0458219525212</v>
      </c>
      <c r="E298" s="3">
        <f t="shared" si="13"/>
        <v>139245.48111504619</v>
      </c>
      <c r="F298" s="4">
        <f>('Owner Occupier'!$H$24-'Owner Occupier'!$D$52)/('Owner Occupier'!$D$56-'Owner Occupier'!$D$52)*B298</f>
        <v>881.30927804294026</v>
      </c>
      <c r="G298" s="4">
        <f t="shared" si="14"/>
        <v>161715.9512985441</v>
      </c>
    </row>
    <row r="299" spans="1:7" x14ac:dyDescent="0.25">
      <c r="A299">
        <v>296</v>
      </c>
      <c r="B299" s="4">
        <f>-PPMT('Owner Occupier'!$D$41/12,'FHA Amotization'!$A299,360,'Owner Occupier'!$D$40,0,0)</f>
        <v>1908.8847430033998</v>
      </c>
      <c r="C299" s="4">
        <f>-IPMT('Owner Occupier'!$D$41/12,'FHA Amotization'!$A299,360,'Owner Occupier'!$D$40,0,0)</f>
        <v>493.16107894912136</v>
      </c>
      <c r="D299" s="4">
        <f t="shared" si="12"/>
        <v>2402.0458219525212</v>
      </c>
      <c r="E299" s="3">
        <f t="shared" si="13"/>
        <v>137336.59637204278</v>
      </c>
      <c r="F299" s="4">
        <f>('Owner Occupier'!$H$24-'Owner Occupier'!$D$52)/('Owner Occupier'!$D$56-'Owner Occupier'!$D$52)*B299</f>
        <v>884.430581736009</v>
      </c>
      <c r="G299" s="4">
        <f t="shared" si="14"/>
        <v>162600.3818802801</v>
      </c>
    </row>
    <row r="300" spans="1:7" x14ac:dyDescent="0.25">
      <c r="A300">
        <v>297</v>
      </c>
      <c r="B300" s="4">
        <f>-PPMT('Owner Occupier'!$D$41/12,'FHA Amotization'!$A300,360,'Owner Occupier'!$D$40,0,0)</f>
        <v>1915.6453764682035</v>
      </c>
      <c r="C300" s="4">
        <f>-IPMT('Owner Occupier'!$D$41/12,'FHA Amotization'!$A300,360,'Owner Occupier'!$D$40,0,0)</f>
        <v>486.40044548431763</v>
      </c>
      <c r="D300" s="4">
        <f t="shared" si="12"/>
        <v>2402.0458219525212</v>
      </c>
      <c r="E300" s="3">
        <f t="shared" si="13"/>
        <v>135420.95099557459</v>
      </c>
      <c r="F300" s="4">
        <f>('Owner Occupier'!$H$24-'Owner Occupier'!$D$52)/('Owner Occupier'!$D$56-'Owner Occupier'!$D$52)*B300</f>
        <v>887.56294004632412</v>
      </c>
      <c r="G300" s="4">
        <f t="shared" si="14"/>
        <v>163487.94482032643</v>
      </c>
    </row>
    <row r="301" spans="1:7" x14ac:dyDescent="0.25">
      <c r="A301">
        <v>298</v>
      </c>
      <c r="B301" s="4">
        <f>-PPMT('Owner Occupier'!$D$41/12,'FHA Amotization'!$A301,360,'Owner Occupier'!$D$40,0,0)</f>
        <v>1922.4299538431951</v>
      </c>
      <c r="C301" s="4">
        <f>-IPMT('Owner Occupier'!$D$41/12,'FHA Amotization'!$A301,360,'Owner Occupier'!$D$40,0,0)</f>
        <v>479.61586810932607</v>
      </c>
      <c r="D301" s="4">
        <f t="shared" si="12"/>
        <v>2402.0458219525212</v>
      </c>
      <c r="E301" s="3">
        <f t="shared" si="13"/>
        <v>133498.52104173141</v>
      </c>
      <c r="F301" s="4">
        <f>('Owner Occupier'!$H$24-'Owner Occupier'!$D$52)/('Owner Occupier'!$D$56-'Owner Occupier'!$D$52)*B301</f>
        <v>890.70639212565482</v>
      </c>
      <c r="G301" s="4">
        <f t="shared" si="14"/>
        <v>164378.6512124521</v>
      </c>
    </row>
    <row r="302" spans="1:7" x14ac:dyDescent="0.25">
      <c r="A302">
        <v>299</v>
      </c>
      <c r="B302" s="4">
        <f>-PPMT('Owner Occupier'!$D$41/12,'FHA Amotization'!$A302,360,'Owner Occupier'!$D$40,0,0)</f>
        <v>1929.2385599297234</v>
      </c>
      <c r="C302" s="4">
        <f>-IPMT('Owner Occupier'!$D$41/12,'FHA Amotization'!$A302,360,'Owner Occupier'!$D$40,0,0)</f>
        <v>472.80726202279817</v>
      </c>
      <c r="D302" s="4">
        <f t="shared" si="12"/>
        <v>2402.0458219525217</v>
      </c>
      <c r="E302" s="3">
        <f t="shared" si="13"/>
        <v>131569.2824818017</v>
      </c>
      <c r="F302" s="4">
        <f>('Owner Occupier'!$H$24-'Owner Occupier'!$D$52)/('Owner Occupier'!$D$56-'Owner Occupier'!$D$52)*B302</f>
        <v>893.86097726443336</v>
      </c>
      <c r="G302" s="4">
        <f t="shared" si="14"/>
        <v>165272.51218971654</v>
      </c>
    </row>
    <row r="303" spans="1:7" x14ac:dyDescent="0.25">
      <c r="A303">
        <v>300</v>
      </c>
      <c r="B303" s="4">
        <f>-PPMT('Owner Occupier'!$D$41/12,'FHA Amotization'!$A303,360,'Owner Occupier'!$D$40,0,0)</f>
        <v>1936.0712798294744</v>
      </c>
      <c r="C303" s="4">
        <f>-IPMT('Owner Occupier'!$D$41/12,'FHA Amotization'!$A303,360,'Owner Occupier'!$D$40,0,0)</f>
        <v>465.97454212304712</v>
      </c>
      <c r="D303" s="4">
        <f t="shared" si="12"/>
        <v>2402.0458219525217</v>
      </c>
      <c r="E303" s="3">
        <f t="shared" si="13"/>
        <v>129633.21120197223</v>
      </c>
      <c r="F303" s="4">
        <f>('Owner Occupier'!$H$24-'Owner Occupier'!$D$52)/('Owner Occupier'!$D$56-'Owner Occupier'!$D$52)*B303</f>
        <v>897.0267348922448</v>
      </c>
      <c r="G303" s="4">
        <f t="shared" si="14"/>
        <v>166169.53892460879</v>
      </c>
    </row>
    <row r="304" spans="1:7" x14ac:dyDescent="0.25">
      <c r="A304">
        <v>301</v>
      </c>
      <c r="B304" s="4">
        <f>-PPMT('Owner Occupier'!$D$41/12,'FHA Amotization'!$A304,360,'Owner Occupier'!$D$40,0,0)</f>
        <v>1942.9281989455374</v>
      </c>
      <c r="C304" s="4">
        <f>-IPMT('Owner Occupier'!$D$41/12,'FHA Amotization'!$A304,360,'Owner Occupier'!$D$40,0,0)</f>
        <v>459.11762300698433</v>
      </c>
      <c r="D304" s="4">
        <f t="shared" si="12"/>
        <v>2402.0458219525217</v>
      </c>
      <c r="E304" s="3">
        <f t="shared" si="13"/>
        <v>127690.28300302669</v>
      </c>
      <c r="F304" s="4">
        <f>('Owner Occupier'!$H$24-'Owner Occupier'!$D$52)/('Owner Occupier'!$D$56-'Owner Occupier'!$D$52)*B304</f>
        <v>900.20370457832166</v>
      </c>
      <c r="G304" s="4">
        <f t="shared" si="14"/>
        <v>167069.74262918709</v>
      </c>
    </row>
    <row r="305" spans="1:7" x14ac:dyDescent="0.25">
      <c r="A305">
        <v>302</v>
      </c>
      <c r="B305" s="4">
        <f>-PPMT('Owner Occupier'!$D$41/12,'FHA Amotization'!$A305,360,'Owner Occupier'!$D$40,0,0)</f>
        <v>1949.8094029834692</v>
      </c>
      <c r="C305" s="4">
        <f>-IPMT('Owner Occupier'!$D$41/12,'FHA Amotization'!$A305,360,'Owner Occupier'!$D$40,0,0)</f>
        <v>452.23641896905229</v>
      </c>
      <c r="D305" s="4">
        <f t="shared" si="12"/>
        <v>2402.0458219525217</v>
      </c>
      <c r="E305" s="3">
        <f t="shared" si="13"/>
        <v>125740.47360004322</v>
      </c>
      <c r="F305" s="4">
        <f>('Owner Occupier'!$H$24-'Owner Occupier'!$D$52)/('Owner Occupier'!$D$56-'Owner Occupier'!$D$52)*B305</f>
        <v>903.39192603203639</v>
      </c>
      <c r="G305" s="4">
        <f t="shared" si="14"/>
        <v>167973.13455521912</v>
      </c>
    </row>
    <row r="306" spans="1:7" x14ac:dyDescent="0.25">
      <c r="A306">
        <v>303</v>
      </c>
      <c r="B306" s="4">
        <f>-PPMT('Owner Occupier'!$D$41/12,'FHA Amotization'!$A306,360,'Owner Occupier'!$D$40,0,0)</f>
        <v>1956.7149779523691</v>
      </c>
      <c r="C306" s="4">
        <f>-IPMT('Owner Occupier'!$D$41/12,'FHA Amotization'!$A306,360,'Owner Occupier'!$D$40,0,0)</f>
        <v>445.33084400015235</v>
      </c>
      <c r="D306" s="4">
        <f t="shared" si="12"/>
        <v>2402.0458219525212</v>
      </c>
      <c r="E306" s="3">
        <f t="shared" si="13"/>
        <v>123783.75862209084</v>
      </c>
      <c r="F306" s="4">
        <f>('Owner Occupier'!$H$24-'Owner Occupier'!$D$52)/('Owner Occupier'!$D$56-'Owner Occupier'!$D$52)*B306</f>
        <v>906.59143910339992</v>
      </c>
      <c r="G306" s="4">
        <f t="shared" si="14"/>
        <v>168879.72599432251</v>
      </c>
    </row>
    <row r="307" spans="1:7" x14ac:dyDescent="0.25">
      <c r="A307">
        <v>304</v>
      </c>
      <c r="B307" s="4">
        <f>-PPMT('Owner Occupier'!$D$41/12,'FHA Amotization'!$A307,360,'Owner Occupier'!$D$40,0,0)</f>
        <v>1963.6450101659502</v>
      </c>
      <c r="C307" s="4">
        <f>-IPMT('Owner Occupier'!$D$41/12,'FHA Amotization'!$A307,360,'Owner Occupier'!$D$40,0,0)</f>
        <v>438.40081178657113</v>
      </c>
      <c r="D307" s="4">
        <f t="shared" si="12"/>
        <v>2402.0458219525212</v>
      </c>
      <c r="E307" s="3">
        <f t="shared" si="13"/>
        <v>121820.1136119249</v>
      </c>
      <c r="F307" s="4">
        <f>('Owner Occupier'!$H$24-'Owner Occupier'!$D$52)/('Owner Occupier'!$D$56-'Owner Occupier'!$D$52)*B307</f>
        <v>909.80228378355775</v>
      </c>
      <c r="G307" s="4">
        <f t="shared" si="14"/>
        <v>169789.52827810607</v>
      </c>
    </row>
    <row r="308" spans="1:7" x14ac:dyDescent="0.25">
      <c r="A308">
        <v>305</v>
      </c>
      <c r="B308" s="4">
        <f>-PPMT('Owner Occupier'!$D$41/12,'FHA Amotization'!$A308,360,'Owner Occupier'!$D$40,0,0)</f>
        <v>1970.5995862436214</v>
      </c>
      <c r="C308" s="4">
        <f>-IPMT('Owner Occupier'!$D$41/12,'FHA Amotization'!$A308,360,'Owner Occupier'!$D$40,0,0)</f>
        <v>431.44623570890002</v>
      </c>
      <c r="D308" s="4">
        <f t="shared" si="12"/>
        <v>2402.0458219525212</v>
      </c>
      <c r="E308" s="3">
        <f t="shared" si="13"/>
        <v>119849.51402568127</v>
      </c>
      <c r="F308" s="4">
        <f>('Owner Occupier'!$H$24-'Owner Occupier'!$D$52)/('Owner Occupier'!$D$56-'Owner Occupier'!$D$52)*B308</f>
        <v>913.02450020529125</v>
      </c>
      <c r="G308" s="4">
        <f t="shared" si="14"/>
        <v>170702.55277831136</v>
      </c>
    </row>
    <row r="309" spans="1:7" x14ac:dyDescent="0.25">
      <c r="A309">
        <v>306</v>
      </c>
      <c r="B309" s="4">
        <f>-PPMT('Owner Occupier'!$D$41/12,'FHA Amotization'!$A309,360,'Owner Occupier'!$D$40,0,0)</f>
        <v>1977.5787931115676</v>
      </c>
      <c r="C309" s="4">
        <f>-IPMT('Owner Occupier'!$D$41/12,'FHA Amotization'!$A309,360,'Owner Occupier'!$D$40,0,0)</f>
        <v>424.46702884095384</v>
      </c>
      <c r="D309" s="4">
        <f t="shared" si="12"/>
        <v>2402.0458219525217</v>
      </c>
      <c r="E309" s="3">
        <f t="shared" si="13"/>
        <v>117871.93523256971</v>
      </c>
      <c r="F309" s="4">
        <f>('Owner Occupier'!$H$24-'Owner Occupier'!$D$52)/('Owner Occupier'!$D$56-'Owner Occupier'!$D$52)*B309</f>
        <v>916.25812864351826</v>
      </c>
      <c r="G309" s="4">
        <f t="shared" si="14"/>
        <v>171618.8109069549</v>
      </c>
    </row>
    <row r="310" spans="1:7" x14ac:dyDescent="0.25">
      <c r="A310">
        <v>307</v>
      </c>
      <c r="B310" s="4">
        <f>-PPMT('Owner Occupier'!$D$41/12,'FHA Amotization'!$A310,360,'Owner Occupier'!$D$40,0,0)</f>
        <v>1984.5827180038375</v>
      </c>
      <c r="C310" s="4">
        <f>-IPMT('Owner Occupier'!$D$41/12,'FHA Amotization'!$A310,360,'Owner Occupier'!$D$40,0,0)</f>
        <v>417.46310394868368</v>
      </c>
      <c r="D310" s="4">
        <f t="shared" si="12"/>
        <v>2402.0458219525212</v>
      </c>
      <c r="E310" s="3">
        <f t="shared" si="13"/>
        <v>115887.35251456588</v>
      </c>
      <c r="F310" s="4">
        <f>('Owner Occupier'!$H$24-'Owner Occupier'!$D$52)/('Owner Occupier'!$D$56-'Owner Occupier'!$D$52)*B310</f>
        <v>919.50320951579727</v>
      </c>
      <c r="G310" s="4">
        <f t="shared" si="14"/>
        <v>172538.31411647069</v>
      </c>
    </row>
    <row r="311" spans="1:7" x14ac:dyDescent="0.25">
      <c r="A311">
        <v>308</v>
      </c>
      <c r="B311" s="4">
        <f>-PPMT('Owner Occupier'!$D$41/12,'FHA Amotization'!$A311,360,'Owner Occupier'!$D$40,0,0)</f>
        <v>1991.6114484634345</v>
      </c>
      <c r="C311" s="4">
        <f>-IPMT('Owner Occupier'!$D$41/12,'FHA Amotization'!$A311,360,'Owner Occupier'!$D$40,0,0)</f>
        <v>410.43437348908674</v>
      </c>
      <c r="D311" s="4">
        <f t="shared" si="12"/>
        <v>2402.0458219525212</v>
      </c>
      <c r="E311" s="3">
        <f t="shared" si="13"/>
        <v>113895.74106610245</v>
      </c>
      <c r="F311" s="4">
        <f>('Owner Occupier'!$H$24-'Owner Occupier'!$D$52)/('Owner Occupier'!$D$56-'Owner Occupier'!$D$52)*B311</f>
        <v>922.75978338283244</v>
      </c>
      <c r="G311" s="4">
        <f t="shared" si="14"/>
        <v>173461.07389985351</v>
      </c>
    </row>
    <row r="312" spans="1:7" x14ac:dyDescent="0.25">
      <c r="A312">
        <v>309</v>
      </c>
      <c r="B312" s="4">
        <f>-PPMT('Owner Occupier'!$D$41/12,'FHA Amotization'!$A312,360,'Owner Occupier'!$D$40,0,0)</f>
        <v>1998.6650723434095</v>
      </c>
      <c r="C312" s="4">
        <f>-IPMT('Owner Occupier'!$D$41/12,'FHA Amotization'!$A312,360,'Owner Occupier'!$D$40,0,0)</f>
        <v>403.38074960911212</v>
      </c>
      <c r="D312" s="4">
        <f t="shared" si="12"/>
        <v>2402.0458219525217</v>
      </c>
      <c r="E312" s="3">
        <f t="shared" si="13"/>
        <v>111897.07599375903</v>
      </c>
      <c r="F312" s="4">
        <f>('Owner Occupier'!$H$24-'Owner Occupier'!$D$52)/('Owner Occupier'!$D$56-'Owner Occupier'!$D$52)*B312</f>
        <v>926.02789094898014</v>
      </c>
      <c r="G312" s="4">
        <f t="shared" si="14"/>
        <v>174387.1017908025</v>
      </c>
    </row>
    <row r="313" spans="1:7" x14ac:dyDescent="0.25">
      <c r="A313">
        <v>310</v>
      </c>
      <c r="B313" s="4">
        <f>-PPMT('Owner Occupier'!$D$41/12,'FHA Amotization'!$A313,360,'Owner Occupier'!$D$40,0,0)</f>
        <v>2005.7436778079586</v>
      </c>
      <c r="C313" s="4">
        <f>-IPMT('Owner Occupier'!$D$41/12,'FHA Amotization'!$A313,360,'Owner Occupier'!$D$40,0,0)</f>
        <v>396.30214414456248</v>
      </c>
      <c r="D313" s="4">
        <f t="shared" si="12"/>
        <v>2402.0458219525212</v>
      </c>
      <c r="E313" s="3">
        <f t="shared" si="13"/>
        <v>109891.33231595108</v>
      </c>
      <c r="F313" s="4">
        <f>('Owner Occupier'!$H$24-'Owner Occupier'!$D$52)/('Owner Occupier'!$D$56-'Owner Occupier'!$D$52)*B313</f>
        <v>929.30757306275757</v>
      </c>
      <c r="G313" s="4">
        <f t="shared" si="14"/>
        <v>175316.40936386524</v>
      </c>
    </row>
    <row r="314" spans="1:7" x14ac:dyDescent="0.25">
      <c r="A314">
        <v>311</v>
      </c>
      <c r="B314" s="4">
        <f>-PPMT('Owner Occupier'!$D$41/12,'FHA Amotization'!$A314,360,'Owner Occupier'!$D$40,0,0)</f>
        <v>2012.8473533335286</v>
      </c>
      <c r="C314" s="4">
        <f>-IPMT('Owner Occupier'!$D$41/12,'FHA Amotization'!$A314,360,'Owner Occupier'!$D$40,0,0)</f>
        <v>389.19846861899265</v>
      </c>
      <c r="D314" s="4">
        <f t="shared" si="12"/>
        <v>2402.0458219525212</v>
      </c>
      <c r="E314" s="3">
        <f t="shared" si="13"/>
        <v>107878.48496261754</v>
      </c>
      <c r="F314" s="4">
        <f>('Owner Occupier'!$H$24-'Owner Occupier'!$D$52)/('Owner Occupier'!$D$56-'Owner Occupier'!$D$52)*B314</f>
        <v>932.59887071735488</v>
      </c>
      <c r="G314" s="4">
        <f t="shared" si="14"/>
        <v>176249.00823458261</v>
      </c>
    </row>
    <row r="315" spans="1:7" x14ac:dyDescent="0.25">
      <c r="A315">
        <v>312</v>
      </c>
      <c r="B315" s="4">
        <f>-PPMT('Owner Occupier'!$D$41/12,'FHA Amotization'!$A315,360,'Owner Occupier'!$D$40,0,0)</f>
        <v>2019.9761877099186</v>
      </c>
      <c r="C315" s="4">
        <f>-IPMT('Owner Occupier'!$D$41/12,'FHA Amotization'!$A315,360,'Owner Occupier'!$D$40,0,0)</f>
        <v>382.06963424260312</v>
      </c>
      <c r="D315" s="4">
        <f t="shared" si="12"/>
        <v>2402.0458219525217</v>
      </c>
      <c r="E315" s="3">
        <f t="shared" si="13"/>
        <v>105858.50877490762</v>
      </c>
      <c r="F315" s="4">
        <f>('Owner Occupier'!$H$24-'Owner Occupier'!$D$52)/('Owner Occupier'!$D$56-'Owner Occupier'!$D$52)*B315</f>
        <v>935.90182505114569</v>
      </c>
      <c r="G315" s="4">
        <f t="shared" si="14"/>
        <v>177184.91005963375</v>
      </c>
    </row>
    <row r="316" spans="1:7" x14ac:dyDescent="0.25">
      <c r="A316">
        <v>313</v>
      </c>
      <c r="B316" s="4">
        <f>-PPMT('Owner Occupier'!$D$41/12,'FHA Amotization'!$A316,360,'Owner Occupier'!$D$40,0,0)</f>
        <v>2027.1302700413912</v>
      </c>
      <c r="C316" s="4">
        <f>-IPMT('Owner Occupier'!$D$41/12,'FHA Amotization'!$A316,360,'Owner Occupier'!$D$40,0,0)</f>
        <v>374.91555191113054</v>
      </c>
      <c r="D316" s="4">
        <f t="shared" si="12"/>
        <v>2402.0458219525217</v>
      </c>
      <c r="E316" s="3">
        <f t="shared" si="13"/>
        <v>103831.37850486622</v>
      </c>
      <c r="F316" s="4">
        <f>('Owner Occupier'!$H$24-'Owner Occupier'!$D$52)/('Owner Occupier'!$D$56-'Owner Occupier'!$D$52)*B316</f>
        <v>939.21647734820192</v>
      </c>
      <c r="G316" s="4">
        <f t="shared" si="14"/>
        <v>178124.12653698196</v>
      </c>
    </row>
    <row r="317" spans="1:7" x14ac:dyDescent="0.25">
      <c r="A317">
        <v>314</v>
      </c>
      <c r="B317" s="4">
        <f>-PPMT('Owner Occupier'!$D$41/12,'FHA Amotization'!$A317,360,'Owner Occupier'!$D$40,0,0)</f>
        <v>2034.3096897477874</v>
      </c>
      <c r="C317" s="4">
        <f>-IPMT('Owner Occupier'!$D$41/12,'FHA Amotization'!$A317,360,'Owner Occupier'!$D$40,0,0)</f>
        <v>367.73613220473385</v>
      </c>
      <c r="D317" s="4">
        <f t="shared" si="12"/>
        <v>2402.0458219525212</v>
      </c>
      <c r="E317" s="3">
        <f t="shared" si="13"/>
        <v>101797.06881511844</v>
      </c>
      <c r="F317" s="4">
        <f>('Owner Occupier'!$H$24-'Owner Occupier'!$D$52)/('Owner Occupier'!$D$56-'Owner Occupier'!$D$52)*B317</f>
        <v>942.54286903880984</v>
      </c>
      <c r="G317" s="4">
        <f t="shared" si="14"/>
        <v>179066.66940602078</v>
      </c>
    </row>
    <row r="318" spans="1:7" x14ac:dyDescent="0.25">
      <c r="A318">
        <v>315</v>
      </c>
      <c r="B318" s="4">
        <f>-PPMT('Owner Occupier'!$D$41/12,'FHA Amotization'!$A318,360,'Owner Occupier'!$D$40,0,0)</f>
        <v>2041.5145365656442</v>
      </c>
      <c r="C318" s="4">
        <f>-IPMT('Owner Occupier'!$D$41/12,'FHA Amotization'!$A318,360,'Owner Occupier'!$D$40,0,0)</f>
        <v>360.53128538687713</v>
      </c>
      <c r="D318" s="4">
        <f t="shared" si="12"/>
        <v>2402.0458219525212</v>
      </c>
      <c r="E318" s="3">
        <f t="shared" si="13"/>
        <v>99755.554278552794</v>
      </c>
      <c r="F318" s="4">
        <f>('Owner Occupier'!$H$24-'Owner Occupier'!$D$52)/('Owner Occupier'!$D$56-'Owner Occupier'!$D$52)*B318</f>
        <v>945.88104169998905</v>
      </c>
      <c r="G318" s="4">
        <f t="shared" si="14"/>
        <v>180012.55044772077</v>
      </c>
    </row>
    <row r="319" spans="1:7" x14ac:dyDescent="0.25">
      <c r="A319">
        <v>316</v>
      </c>
      <c r="B319" s="4">
        <f>-PPMT('Owner Occupier'!$D$41/12,'FHA Amotization'!$A319,360,'Owner Occupier'!$D$40,0,0)</f>
        <v>2048.7449005493145</v>
      </c>
      <c r="C319" s="4">
        <f>-IPMT('Owner Occupier'!$D$41/12,'FHA Amotization'!$A319,360,'Owner Occupier'!$D$40,0,0)</f>
        <v>353.3009214032071</v>
      </c>
      <c r="D319" s="4">
        <f t="shared" si="12"/>
        <v>2402.0458219525217</v>
      </c>
      <c r="E319" s="3">
        <f t="shared" si="13"/>
        <v>97706.809378003483</v>
      </c>
      <c r="F319" s="4">
        <f>('Owner Occupier'!$H$24-'Owner Occupier'!$D$52)/('Owner Occupier'!$D$56-'Owner Occupier'!$D$52)*B319</f>
        <v>949.23103705601</v>
      </c>
      <c r="G319" s="4">
        <f t="shared" si="14"/>
        <v>180961.78148477679</v>
      </c>
    </row>
    <row r="320" spans="1:7" x14ac:dyDescent="0.25">
      <c r="A320">
        <v>317</v>
      </c>
      <c r="B320" s="4">
        <f>-PPMT('Owner Occupier'!$D$41/12,'FHA Amotization'!$A320,360,'Owner Occupier'!$D$40,0,0)</f>
        <v>2056.000872072093</v>
      </c>
      <c r="C320" s="4">
        <f>-IPMT('Owner Occupier'!$D$41/12,'FHA Amotization'!$A320,360,'Owner Occupier'!$D$40,0,0)</f>
        <v>346.04494988042831</v>
      </c>
      <c r="D320" s="4">
        <f t="shared" si="12"/>
        <v>2402.0458219525212</v>
      </c>
      <c r="E320" s="3">
        <f t="shared" si="13"/>
        <v>95650.808505931389</v>
      </c>
      <c r="F320" s="4">
        <f>('Owner Occupier'!$H$24-'Owner Occupier'!$D$52)/('Owner Occupier'!$D$56-'Owner Occupier'!$D$52)*B320</f>
        <v>952.59289697891654</v>
      </c>
      <c r="G320" s="4">
        <f t="shared" si="14"/>
        <v>181914.37438175571</v>
      </c>
    </row>
    <row r="321" spans="1:7" x14ac:dyDescent="0.25">
      <c r="A321">
        <v>318</v>
      </c>
      <c r="B321" s="4">
        <f>-PPMT('Owner Occupier'!$D$41/12,'FHA Amotization'!$A321,360,'Owner Occupier'!$D$40,0,0)</f>
        <v>2063.2825418273483</v>
      </c>
      <c r="C321" s="4">
        <f>-IPMT('Owner Occupier'!$D$41/12,'FHA Amotization'!$A321,360,'Owner Occupier'!$D$40,0,0)</f>
        <v>338.76328012517297</v>
      </c>
      <c r="D321" s="4">
        <f t="shared" si="12"/>
        <v>2402.0458219525212</v>
      </c>
      <c r="E321" s="3">
        <f t="shared" si="13"/>
        <v>93587.525964104047</v>
      </c>
      <c r="F321" s="4">
        <f>('Owner Occupier'!$H$24-'Owner Occupier'!$D$52)/('Owner Occupier'!$D$56-'Owner Occupier'!$D$52)*B321</f>
        <v>955.96666348905012</v>
      </c>
      <c r="G321" s="4">
        <f t="shared" si="14"/>
        <v>182870.34104524477</v>
      </c>
    </row>
    <row r="322" spans="1:7" x14ac:dyDescent="0.25">
      <c r="A322">
        <v>319</v>
      </c>
      <c r="B322" s="4">
        <f>-PPMT('Owner Occupier'!$D$41/12,'FHA Amotization'!$A322,360,'Owner Occupier'!$D$40,0,0)</f>
        <v>2070.5900008296535</v>
      </c>
      <c r="C322" s="4">
        <f>-IPMT('Owner Occupier'!$D$41/12,'FHA Amotization'!$A322,360,'Owner Occupier'!$D$40,0,0)</f>
        <v>331.4558211228678</v>
      </c>
      <c r="D322" s="4">
        <f t="shared" si="12"/>
        <v>2402.0458219525212</v>
      </c>
      <c r="E322" s="3">
        <f t="shared" si="13"/>
        <v>91516.935963274387</v>
      </c>
      <c r="F322" s="4">
        <f>('Owner Occupier'!$H$24-'Owner Occupier'!$D$52)/('Owner Occupier'!$D$56-'Owner Occupier'!$D$52)*B322</f>
        <v>959.35237875557391</v>
      </c>
      <c r="G322" s="4">
        <f t="shared" si="14"/>
        <v>183829.69342400035</v>
      </c>
    </row>
    <row r="323" spans="1:7" x14ac:dyDescent="0.25">
      <c r="A323">
        <v>320</v>
      </c>
      <c r="B323" s="4">
        <f>-PPMT('Owner Occupier'!$D$41/12,'FHA Amotization'!$A323,360,'Owner Occupier'!$D$40,0,0)</f>
        <v>2077.9233404159254</v>
      </c>
      <c r="C323" s="4">
        <f>-IPMT('Owner Occupier'!$D$41/12,'FHA Amotization'!$A323,360,'Owner Occupier'!$D$40,0,0)</f>
        <v>324.12248153659607</v>
      </c>
      <c r="D323" s="4">
        <f t="shared" si="12"/>
        <v>2402.0458219525217</v>
      </c>
      <c r="E323" s="3">
        <f t="shared" si="13"/>
        <v>89439.012622858456</v>
      </c>
      <c r="F323" s="4">
        <f>('Owner Occupier'!$H$24-'Owner Occupier'!$D$52)/('Owner Occupier'!$D$56-'Owner Occupier'!$D$52)*B323</f>
        <v>962.75008509700001</v>
      </c>
      <c r="G323" s="4">
        <f t="shared" si="14"/>
        <v>184792.44350909736</v>
      </c>
    </row>
    <row r="324" spans="1:7" x14ac:dyDescent="0.25">
      <c r="A324">
        <v>321</v>
      </c>
      <c r="B324" s="4">
        <f>-PPMT('Owner Occupier'!$D$41/12,'FHA Amotization'!$A324,360,'Owner Occupier'!$D$40,0,0)</f>
        <v>2085.2826522465648</v>
      </c>
      <c r="C324" s="4">
        <f>-IPMT('Owner Occupier'!$D$41/12,'FHA Amotization'!$A324,360,'Owner Occupier'!$D$40,0,0)</f>
        <v>316.76316970595639</v>
      </c>
      <c r="D324" s="4">
        <f t="shared" si="12"/>
        <v>2402.0458219525212</v>
      </c>
      <c r="E324" s="3">
        <f t="shared" si="13"/>
        <v>87353.729970611894</v>
      </c>
      <c r="F324" s="4">
        <f>('Owner Occupier'!$H$24-'Owner Occupier'!$D$52)/('Owner Occupier'!$D$56-'Owner Occupier'!$D$52)*B324</f>
        <v>966.15982498171832</v>
      </c>
      <c r="G324" s="4">
        <f t="shared" si="14"/>
        <v>185758.60333407909</v>
      </c>
    </row>
    <row r="325" spans="1:7" x14ac:dyDescent="0.25">
      <c r="A325">
        <v>322</v>
      </c>
      <c r="B325" s="4">
        <f>-PPMT('Owner Occupier'!$D$41/12,'FHA Amotization'!$A325,360,'Owner Occupier'!$D$40,0,0)</f>
        <v>2092.6680283066048</v>
      </c>
      <c r="C325" s="4">
        <f>-IPMT('Owner Occupier'!$D$41/12,'FHA Amotization'!$A325,360,'Owner Occupier'!$D$40,0,0)</f>
        <v>309.37779364591648</v>
      </c>
      <c r="D325" s="4">
        <f t="shared" ref="D325:D363" si="15">B325+C325</f>
        <v>2402.0458219525212</v>
      </c>
      <c r="E325" s="3">
        <f t="shared" si="13"/>
        <v>85261.061942305285</v>
      </c>
      <c r="F325" s="4">
        <f>('Owner Occupier'!$H$24-'Owner Occupier'!$D$52)/('Owner Occupier'!$D$56-'Owner Occupier'!$D$52)*B325</f>
        <v>969.58164102852868</v>
      </c>
      <c r="G325" s="4">
        <f t="shared" si="14"/>
        <v>186728.18497510761</v>
      </c>
    </row>
    <row r="326" spans="1:7" x14ac:dyDescent="0.25">
      <c r="A326">
        <v>323</v>
      </c>
      <c r="B326" s="4">
        <f>-PPMT('Owner Occupier'!$D$41/12,'FHA Amotization'!$A326,360,'Owner Occupier'!$D$40,0,0)</f>
        <v>2100.0795609068578</v>
      </c>
      <c r="C326" s="4">
        <f>-IPMT('Owner Occupier'!$D$41/12,'FHA Amotization'!$A326,360,'Owner Occupier'!$D$40,0,0)</f>
        <v>301.96626104566394</v>
      </c>
      <c r="D326" s="4">
        <f t="shared" si="15"/>
        <v>2402.0458219525217</v>
      </c>
      <c r="E326" s="3">
        <f t="shared" ref="E326:E363" si="16">E325-B326</f>
        <v>83160.982381398426</v>
      </c>
      <c r="F326" s="4">
        <f>('Owner Occupier'!$H$24-'Owner Occupier'!$D$52)/('Owner Occupier'!$D$56-'Owner Occupier'!$D$52)*B326</f>
        <v>973.0155760071716</v>
      </c>
      <c r="G326" s="4">
        <f t="shared" ref="G326:G363" si="17">F326+G325</f>
        <v>187701.20055111477</v>
      </c>
    </row>
    <row r="327" spans="1:7" x14ac:dyDescent="0.25">
      <c r="A327">
        <v>324</v>
      </c>
      <c r="B327" s="4">
        <f>-PPMT('Owner Occupier'!$D$41/12,'FHA Amotization'!$A327,360,'Owner Occupier'!$D$40,0,0)</f>
        <v>2107.5173426850693</v>
      </c>
      <c r="C327" s="4">
        <f>-IPMT('Owner Occupier'!$D$41/12,'FHA Amotization'!$A327,360,'Owner Occupier'!$D$40,0,0)</f>
        <v>294.5284792674521</v>
      </c>
      <c r="D327" s="4">
        <f t="shared" si="15"/>
        <v>2402.0458219525212</v>
      </c>
      <c r="E327" s="3">
        <f t="shared" si="16"/>
        <v>81053.465038713359</v>
      </c>
      <c r="F327" s="4">
        <f>('Owner Occupier'!$H$24-'Owner Occupier'!$D$52)/('Owner Occupier'!$D$56-'Owner Occupier'!$D$52)*B327</f>
        <v>976.46167283886348</v>
      </c>
      <c r="G327" s="4">
        <f t="shared" si="17"/>
        <v>188677.66222395364</v>
      </c>
    </row>
    <row r="328" spans="1:7" x14ac:dyDescent="0.25">
      <c r="A328">
        <v>325</v>
      </c>
      <c r="B328" s="4">
        <f>-PPMT('Owner Occupier'!$D$41/12,'FHA Amotization'!$A328,360,'Owner Occupier'!$D$40,0,0)</f>
        <v>2114.9814666070788</v>
      </c>
      <c r="C328" s="4">
        <f>-IPMT('Owner Occupier'!$D$41/12,'FHA Amotization'!$A328,360,'Owner Occupier'!$D$40,0,0)</f>
        <v>287.06435534544249</v>
      </c>
      <c r="D328" s="4">
        <f t="shared" si="15"/>
        <v>2402.0458219525212</v>
      </c>
      <c r="E328" s="3">
        <f t="shared" si="16"/>
        <v>78938.483572106285</v>
      </c>
      <c r="F328" s="4">
        <f>('Owner Occupier'!$H$24-'Owner Occupier'!$D$52)/('Owner Occupier'!$D$56-'Owner Occupier'!$D$52)*B328</f>
        <v>979.91997459683444</v>
      </c>
      <c r="G328" s="4">
        <f t="shared" si="17"/>
        <v>189657.58219855046</v>
      </c>
    </row>
    <row r="329" spans="1:7" x14ac:dyDescent="0.25">
      <c r="A329">
        <v>326</v>
      </c>
      <c r="B329" s="4">
        <f>-PPMT('Owner Occupier'!$D$41/12,'FHA Amotization'!$A329,360,'Owner Occupier'!$D$40,0,0)</f>
        <v>2122.4720259679789</v>
      </c>
      <c r="C329" s="4">
        <f>-IPMT('Owner Occupier'!$D$41/12,'FHA Amotization'!$A329,360,'Owner Occupier'!$D$40,0,0)</f>
        <v>279.57379598454241</v>
      </c>
      <c r="D329" s="4">
        <f t="shared" si="15"/>
        <v>2402.0458219525212</v>
      </c>
      <c r="E329" s="3">
        <f t="shared" si="16"/>
        <v>76816.01154613831</v>
      </c>
      <c r="F329" s="4">
        <f>('Owner Occupier'!$H$24-'Owner Occupier'!$D$52)/('Owner Occupier'!$D$56-'Owner Occupier'!$D$52)*B329</f>
        <v>983.39052450686484</v>
      </c>
      <c r="G329" s="4">
        <f t="shared" si="17"/>
        <v>190640.97272305732</v>
      </c>
    </row>
    <row r="330" spans="1:7" x14ac:dyDescent="0.25">
      <c r="A330">
        <v>327</v>
      </c>
      <c r="B330" s="4">
        <f>-PPMT('Owner Occupier'!$D$41/12,'FHA Amotization'!$A330,360,'Owner Occupier'!$D$40,0,0)</f>
        <v>2129.9891143932823</v>
      </c>
      <c r="C330" s="4">
        <f>-IPMT('Owner Occupier'!$D$41/12,'FHA Amotization'!$A330,360,'Owner Occupier'!$D$40,0,0)</f>
        <v>272.05670755923916</v>
      </c>
      <c r="D330" s="4">
        <f t="shared" si="15"/>
        <v>2402.0458219525217</v>
      </c>
      <c r="E330" s="3">
        <f t="shared" si="16"/>
        <v>74686.022431745034</v>
      </c>
      <c r="F330" s="4">
        <f>('Owner Occupier'!$H$24-'Owner Occupier'!$D$52)/('Owner Occupier'!$D$56-'Owner Occupier'!$D$52)*B330</f>
        <v>986.87336594782676</v>
      </c>
      <c r="G330" s="4">
        <f t="shared" si="17"/>
        <v>191627.84608900515</v>
      </c>
    </row>
    <row r="331" spans="1:7" x14ac:dyDescent="0.25">
      <c r="A331">
        <v>328</v>
      </c>
      <c r="B331" s="4">
        <f>-PPMT('Owner Occupier'!$D$41/12,'FHA Amotization'!$A331,360,'Owner Occupier'!$D$40,0,0)</f>
        <v>2137.5328258400918</v>
      </c>
      <c r="C331" s="4">
        <f>-IPMT('Owner Occupier'!$D$41/12,'FHA Amotization'!$A331,360,'Owner Occupier'!$D$40,0,0)</f>
        <v>264.51299611242962</v>
      </c>
      <c r="D331" s="4">
        <f t="shared" si="15"/>
        <v>2402.0458219525217</v>
      </c>
      <c r="E331" s="3">
        <f t="shared" si="16"/>
        <v>72548.489605904935</v>
      </c>
      <c r="F331" s="4">
        <f>('Owner Occupier'!$H$24-'Owner Occupier'!$D$52)/('Owner Occupier'!$D$56-'Owner Occupier'!$D$52)*B331</f>
        <v>990.36854245222537</v>
      </c>
      <c r="G331" s="4">
        <f t="shared" si="17"/>
        <v>192618.21463145738</v>
      </c>
    </row>
    <row r="332" spans="1:7" x14ac:dyDescent="0.25">
      <c r="A332">
        <v>329</v>
      </c>
      <c r="B332" s="4">
        <f>-PPMT('Owner Occupier'!$D$41/12,'FHA Amotization'!$A332,360,'Owner Occupier'!$D$40,0,0)</f>
        <v>2145.1032545982757</v>
      </c>
      <c r="C332" s="4">
        <f>-IPMT('Owner Occupier'!$D$41/12,'FHA Amotization'!$A332,360,'Owner Occupier'!$D$40,0,0)</f>
        <v>256.94256735424597</v>
      </c>
      <c r="D332" s="4">
        <f t="shared" si="15"/>
        <v>2402.0458219525217</v>
      </c>
      <c r="E332" s="3">
        <f t="shared" si="16"/>
        <v>70403.386351306661</v>
      </c>
      <c r="F332" s="4">
        <f>('Owner Occupier'!$H$24-'Owner Occupier'!$D$52)/('Owner Occupier'!$D$56-'Owner Occupier'!$D$52)*B332</f>
        <v>993.87609770674374</v>
      </c>
      <c r="G332" s="4">
        <f t="shared" si="17"/>
        <v>193612.09072916413</v>
      </c>
    </row>
    <row r="333" spans="1:7" x14ac:dyDescent="0.25">
      <c r="A333">
        <v>330</v>
      </c>
      <c r="B333" s="4">
        <f>-PPMT('Owner Occupier'!$D$41/12,'FHA Amotization'!$A333,360,'Owner Occupier'!$D$40,0,0)</f>
        <v>2152.7004952916445</v>
      </c>
      <c r="C333" s="4">
        <f>-IPMT('Owner Occupier'!$D$41/12,'FHA Amotization'!$A333,360,'Owner Occupier'!$D$40,0,0)</f>
        <v>249.34532666087711</v>
      </c>
      <c r="D333" s="4">
        <f t="shared" si="15"/>
        <v>2402.0458219525217</v>
      </c>
      <c r="E333" s="3">
        <f t="shared" si="16"/>
        <v>68250.685856015014</v>
      </c>
      <c r="F333" s="4">
        <f>('Owner Occupier'!$H$24-'Owner Occupier'!$D$52)/('Owner Occupier'!$D$56-'Owner Occupier'!$D$52)*B333</f>
        <v>997.39607555278837</v>
      </c>
      <c r="G333" s="4">
        <f t="shared" si="17"/>
        <v>194609.48680471693</v>
      </c>
    </row>
    <row r="334" spans="1:7" x14ac:dyDescent="0.25">
      <c r="A334">
        <v>331</v>
      </c>
      <c r="B334" s="4">
        <f>-PPMT('Owner Occupier'!$D$41/12,'FHA Amotization'!$A334,360,'Owner Occupier'!$D$40,0,0)</f>
        <v>2160.3246428791354</v>
      </c>
      <c r="C334" s="4">
        <f>-IPMT('Owner Occupier'!$D$41/12,'FHA Amotization'!$A334,360,'Owner Occupier'!$D$40,0,0)</f>
        <v>241.7211790733858</v>
      </c>
      <c r="D334" s="4">
        <f t="shared" si="15"/>
        <v>2402.0458219525212</v>
      </c>
      <c r="E334" s="3">
        <f t="shared" si="16"/>
        <v>66090.361213135882</v>
      </c>
      <c r="F334" s="4">
        <f>('Owner Occupier'!$H$24-'Owner Occupier'!$D$52)/('Owner Occupier'!$D$56-'Owner Occupier'!$D$52)*B334</f>
        <v>1000.9285199870377</v>
      </c>
      <c r="G334" s="4">
        <f t="shared" si="17"/>
        <v>195610.41532470396</v>
      </c>
    </row>
    <row r="335" spans="1:7" x14ac:dyDescent="0.25">
      <c r="A335">
        <v>332</v>
      </c>
      <c r="B335" s="4">
        <f>-PPMT('Owner Occupier'!$D$41/12,'FHA Amotization'!$A335,360,'Owner Occupier'!$D$40,0,0)</f>
        <v>2167.9757926559992</v>
      </c>
      <c r="C335" s="4">
        <f>-IPMT('Owner Occupier'!$D$41/12,'FHA Amotization'!$A335,360,'Owner Occupier'!$D$40,0,0)</f>
        <v>234.07002929652222</v>
      </c>
      <c r="D335" s="4">
        <f t="shared" si="15"/>
        <v>2402.0458219525212</v>
      </c>
      <c r="E335" s="3">
        <f t="shared" si="16"/>
        <v>63922.385420479884</v>
      </c>
      <c r="F335" s="4">
        <f>('Owner Occupier'!$H$24-'Owner Occupier'!$D$52)/('Owner Occupier'!$D$56-'Owner Occupier'!$D$52)*B335</f>
        <v>1004.4734751619918</v>
      </c>
      <c r="G335" s="4">
        <f t="shared" si="17"/>
        <v>196614.88879986596</v>
      </c>
    </row>
    <row r="336" spans="1:7" x14ac:dyDescent="0.25">
      <c r="A336">
        <v>333</v>
      </c>
      <c r="B336" s="4">
        <f>-PPMT('Owner Occupier'!$D$41/12,'FHA Amotization'!$A336,360,'Owner Occupier'!$D$40,0,0)</f>
        <v>2175.654040254989</v>
      </c>
      <c r="C336" s="4">
        <f>-IPMT('Owner Occupier'!$D$41/12,'FHA Amotization'!$A336,360,'Owner Occupier'!$D$40,0,0)</f>
        <v>226.39178169753222</v>
      </c>
      <c r="D336" s="4">
        <f t="shared" si="15"/>
        <v>2402.0458219525212</v>
      </c>
      <c r="E336" s="3">
        <f t="shared" si="16"/>
        <v>61746.731380224897</v>
      </c>
      <c r="F336" s="4">
        <f>('Owner Occupier'!$H$24-'Owner Occupier'!$D$52)/('Owner Occupier'!$D$56-'Owner Occupier'!$D$52)*B336</f>
        <v>1008.0309853865239</v>
      </c>
      <c r="G336" s="4">
        <f t="shared" si="17"/>
        <v>197622.91978525248</v>
      </c>
    </row>
    <row r="337" spans="1:7" x14ac:dyDescent="0.25">
      <c r="A337">
        <v>334</v>
      </c>
      <c r="B337" s="4">
        <f>-PPMT('Owner Occupier'!$D$41/12,'FHA Amotization'!$A337,360,'Owner Occupier'!$D$40,0,0)</f>
        <v>2183.3594816475588</v>
      </c>
      <c r="C337" s="4">
        <f>-IPMT('Owner Occupier'!$D$41/12,'FHA Amotization'!$A337,360,'Owner Occupier'!$D$40,0,0)</f>
        <v>218.6863403049625</v>
      </c>
      <c r="D337" s="4">
        <f t="shared" si="15"/>
        <v>2402.0458219525212</v>
      </c>
      <c r="E337" s="3">
        <f t="shared" si="16"/>
        <v>59563.371898577338</v>
      </c>
      <c r="F337" s="4">
        <f>('Owner Occupier'!$H$24-'Owner Occupier'!$D$52)/('Owner Occupier'!$D$56-'Owner Occupier'!$D$52)*B337</f>
        <v>1011.6010951264345</v>
      </c>
      <c r="G337" s="4">
        <f t="shared" si="17"/>
        <v>198634.52088037893</v>
      </c>
    </row>
    <row r="338" spans="1:7" x14ac:dyDescent="0.25">
      <c r="A338">
        <v>335</v>
      </c>
      <c r="B338" s="4">
        <f>-PPMT('Owner Occupier'!$D$41/12,'FHA Amotization'!$A338,360,'Owner Occupier'!$D$40,0,0)</f>
        <v>2191.0922131450607</v>
      </c>
      <c r="C338" s="4">
        <f>-IPMT('Owner Occupier'!$D$41/12,'FHA Amotization'!$A338,360,'Owner Occupier'!$D$40,0,0)</f>
        <v>210.95360880746068</v>
      </c>
      <c r="D338" s="4">
        <f t="shared" si="15"/>
        <v>2402.0458219525212</v>
      </c>
      <c r="E338" s="3">
        <f t="shared" si="16"/>
        <v>57372.279685432281</v>
      </c>
      <c r="F338" s="4">
        <f>('Owner Occupier'!$H$24-'Owner Occupier'!$D$52)/('Owner Occupier'!$D$56-'Owner Occupier'!$D$52)*B338</f>
        <v>1015.1838490050073</v>
      </c>
      <c r="G338" s="4">
        <f t="shared" si="17"/>
        <v>199649.70472938393</v>
      </c>
    </row>
    <row r="339" spans="1:7" x14ac:dyDescent="0.25">
      <c r="A339">
        <v>336</v>
      </c>
      <c r="B339" s="4">
        <f>-PPMT('Owner Occupier'!$D$41/12,'FHA Amotization'!$A339,360,'Owner Occupier'!$D$40,0,0)</f>
        <v>2198.8523313999494</v>
      </c>
      <c r="C339" s="4">
        <f>-IPMT('Owner Occupier'!$D$41/12,'FHA Amotization'!$A339,360,'Owner Occupier'!$D$40,0,0)</f>
        <v>203.19349055257192</v>
      </c>
      <c r="D339" s="4">
        <f t="shared" si="15"/>
        <v>2402.0458219525212</v>
      </c>
      <c r="E339" s="3">
        <f t="shared" si="16"/>
        <v>55173.427354032334</v>
      </c>
      <c r="F339" s="4">
        <f>('Owner Occupier'!$H$24-'Owner Occupier'!$D$52)/('Owner Occupier'!$D$56-'Owner Occupier'!$D$52)*B339</f>
        <v>1018.7792918035667</v>
      </c>
      <c r="G339" s="4">
        <f t="shared" si="17"/>
        <v>200668.4840211875</v>
      </c>
    </row>
    <row r="340" spans="1:7" x14ac:dyDescent="0.25">
      <c r="A340">
        <v>337</v>
      </c>
      <c r="B340" s="4">
        <f>-PPMT('Owner Occupier'!$D$41/12,'FHA Amotization'!$A340,360,'Owner Occupier'!$D$40,0,0)</f>
        <v>2206.6399334069911</v>
      </c>
      <c r="C340" s="4">
        <f>-IPMT('Owner Occupier'!$D$41/12,'FHA Amotization'!$A340,360,'Owner Occupier'!$D$40,0,0)</f>
        <v>195.40588854553042</v>
      </c>
      <c r="D340" s="4">
        <f t="shared" si="15"/>
        <v>2402.0458219525217</v>
      </c>
      <c r="E340" s="3">
        <f t="shared" si="16"/>
        <v>52966.78742062534</v>
      </c>
      <c r="F340" s="4">
        <f>('Owner Occupier'!$H$24-'Owner Occupier'!$D$52)/('Owner Occupier'!$D$56-'Owner Occupier'!$D$52)*B340</f>
        <v>1022.3874684620378</v>
      </c>
      <c r="G340" s="4">
        <f t="shared" si="17"/>
        <v>201690.87148964952</v>
      </c>
    </row>
    <row r="341" spans="1:7" x14ac:dyDescent="0.25">
      <c r="A341">
        <v>338</v>
      </c>
      <c r="B341" s="4">
        <f>-PPMT('Owner Occupier'!$D$41/12,'FHA Amotization'!$A341,360,'Owner Occupier'!$D$40,0,0)</f>
        <v>2214.4551165044741</v>
      </c>
      <c r="C341" s="4">
        <f>-IPMT('Owner Occupier'!$D$41/12,'FHA Amotization'!$A341,360,'Owner Occupier'!$D$40,0,0)</f>
        <v>187.59070544804734</v>
      </c>
      <c r="D341" s="4">
        <f t="shared" si="15"/>
        <v>2402.0458219525212</v>
      </c>
      <c r="E341" s="3">
        <f t="shared" si="16"/>
        <v>50752.332304120864</v>
      </c>
      <c r="F341" s="4">
        <f>('Owner Occupier'!$H$24-'Owner Occupier'!$D$52)/('Owner Occupier'!$D$56-'Owner Occupier'!$D$52)*B341</f>
        <v>1026.0084240795074</v>
      </c>
      <c r="G341" s="4">
        <f t="shared" si="17"/>
        <v>202716.87991372903</v>
      </c>
    </row>
    <row r="342" spans="1:7" x14ac:dyDescent="0.25">
      <c r="A342">
        <v>339</v>
      </c>
      <c r="B342" s="4">
        <f>-PPMT('Owner Occupier'!$D$41/12,'FHA Amotization'!$A342,360,'Owner Occupier'!$D$40,0,0)</f>
        <v>2222.2979783754276</v>
      </c>
      <c r="C342" s="4">
        <f>-IPMT('Owner Occupier'!$D$41/12,'FHA Amotization'!$A342,360,'Owner Occupier'!$D$40,0,0)</f>
        <v>179.74784357709399</v>
      </c>
      <c r="D342" s="4">
        <f t="shared" si="15"/>
        <v>2402.0458219525217</v>
      </c>
      <c r="E342" s="3">
        <f t="shared" si="16"/>
        <v>48530.034325745437</v>
      </c>
      <c r="F342" s="4">
        <f>('Owner Occupier'!$H$24-'Owner Occupier'!$D$52)/('Owner Occupier'!$D$56-'Owner Occupier'!$D$52)*B342</f>
        <v>1029.6422039147892</v>
      </c>
      <c r="G342" s="4">
        <f t="shared" si="17"/>
        <v>203746.52211764382</v>
      </c>
    </row>
    <row r="343" spans="1:7" x14ac:dyDescent="0.25">
      <c r="A343">
        <v>340</v>
      </c>
      <c r="B343" s="4">
        <f>-PPMT('Owner Occupier'!$D$41/12,'FHA Amotization'!$A343,360,'Owner Occupier'!$D$40,0,0)</f>
        <v>2230.1686170488406</v>
      </c>
      <c r="C343" s="4">
        <f>-IPMT('Owner Occupier'!$D$41/12,'FHA Amotization'!$A343,360,'Owner Occupier'!$D$40,0,0)</f>
        <v>171.87720490368105</v>
      </c>
      <c r="D343" s="4">
        <f t="shared" si="15"/>
        <v>2402.0458219525217</v>
      </c>
      <c r="E343" s="3">
        <f t="shared" si="16"/>
        <v>46299.865708696598</v>
      </c>
      <c r="F343" s="4">
        <f>('Owner Occupier'!$H$24-'Owner Occupier'!$D$52)/('Owner Occupier'!$D$56-'Owner Occupier'!$D$52)*B343</f>
        <v>1033.2888533869873</v>
      </c>
      <c r="G343" s="4">
        <f t="shared" si="17"/>
        <v>204779.81097103082</v>
      </c>
    </row>
    <row r="344" spans="1:7" x14ac:dyDescent="0.25">
      <c r="A344">
        <v>341</v>
      </c>
      <c r="B344" s="4">
        <f>-PPMT('Owner Occupier'!$D$41/12,'FHA Amotization'!$A344,360,'Owner Occupier'!$D$40,0,0)</f>
        <v>2238.0671309008881</v>
      </c>
      <c r="C344" s="4">
        <f>-IPMT('Owner Occupier'!$D$41/12,'FHA Amotization'!$A344,360,'Owner Occupier'!$D$40,0,0)</f>
        <v>163.97869105163304</v>
      </c>
      <c r="D344" s="4">
        <f t="shared" si="15"/>
        <v>2402.0458219525212</v>
      </c>
      <c r="E344" s="3">
        <f t="shared" si="16"/>
        <v>44061.798577795707</v>
      </c>
      <c r="F344" s="4">
        <f>('Owner Occupier'!$H$24-'Owner Occupier'!$D$52)/('Owner Occupier'!$D$56-'Owner Occupier'!$D$52)*B344</f>
        <v>1036.948418076066</v>
      </c>
      <c r="G344" s="4">
        <f t="shared" si="17"/>
        <v>205816.75938910688</v>
      </c>
    </row>
    <row r="345" spans="1:7" x14ac:dyDescent="0.25">
      <c r="A345">
        <v>342</v>
      </c>
      <c r="B345" s="4">
        <f>-PPMT('Owner Occupier'!$D$41/12,'FHA Amotization'!$A345,360,'Owner Occupier'!$D$40,0,0)</f>
        <v>2245.9936186561622</v>
      </c>
      <c r="C345" s="4">
        <f>-IPMT('Owner Occupier'!$D$41/12,'FHA Amotization'!$A345,360,'Owner Occupier'!$D$40,0,0)</f>
        <v>156.05220329635904</v>
      </c>
      <c r="D345" s="4">
        <f t="shared" si="15"/>
        <v>2402.0458219525212</v>
      </c>
      <c r="E345" s="3">
        <f t="shared" si="16"/>
        <v>41815.804959139547</v>
      </c>
      <c r="F345" s="4">
        <f>('Owner Occupier'!$H$24-'Owner Occupier'!$D$52)/('Owner Occupier'!$D$56-'Owner Occupier'!$D$52)*B345</f>
        <v>1040.6209437234188</v>
      </c>
      <c r="G345" s="4">
        <f t="shared" si="17"/>
        <v>206857.3803328303</v>
      </c>
    </row>
    <row r="346" spans="1:7" x14ac:dyDescent="0.25">
      <c r="A346">
        <v>343</v>
      </c>
      <c r="B346" s="4">
        <f>-PPMT('Owner Occupier'!$D$41/12,'FHA Amotization'!$A346,360,'Owner Occupier'!$D$40,0,0)</f>
        <v>2253.9481793889031</v>
      </c>
      <c r="C346" s="4">
        <f>-IPMT('Owner Occupier'!$D$41/12,'FHA Amotization'!$A346,360,'Owner Occupier'!$D$40,0,0)</f>
        <v>148.09764256361848</v>
      </c>
      <c r="D346" s="4">
        <f t="shared" si="15"/>
        <v>2402.0458219525217</v>
      </c>
      <c r="E346" s="3">
        <f t="shared" si="16"/>
        <v>39561.85677975064</v>
      </c>
      <c r="F346" s="4">
        <f>('Owner Occupier'!$H$24-'Owner Occupier'!$D$52)/('Owner Occupier'!$D$56-'Owner Occupier'!$D$52)*B346</f>
        <v>1044.3064762324393</v>
      </c>
      <c r="G346" s="4">
        <f t="shared" si="17"/>
        <v>207901.68680906275</v>
      </c>
    </row>
    <row r="347" spans="1:7" x14ac:dyDescent="0.25">
      <c r="A347">
        <v>344</v>
      </c>
      <c r="B347" s="4">
        <f>-PPMT('Owner Occupier'!$D$41/12,'FHA Amotization'!$A347,360,'Owner Occupier'!$D$40,0,0)</f>
        <v>2261.9309125242385</v>
      </c>
      <c r="C347" s="4">
        <f>-IPMT('Owner Occupier'!$D$41/12,'FHA Amotization'!$A347,360,'Owner Occupier'!$D$40,0,0)</f>
        <v>140.11490942828277</v>
      </c>
      <c r="D347" s="4">
        <f t="shared" si="15"/>
        <v>2402.0458219525212</v>
      </c>
      <c r="E347" s="3">
        <f t="shared" si="16"/>
        <v>37299.925867226404</v>
      </c>
      <c r="F347" s="4">
        <f>('Owner Occupier'!$H$24-'Owner Occupier'!$D$52)/('Owner Occupier'!$D$56-'Owner Occupier'!$D$52)*B347</f>
        <v>1048.0050616690958</v>
      </c>
      <c r="G347" s="4">
        <f t="shared" si="17"/>
        <v>208949.69187073185</v>
      </c>
    </row>
    <row r="348" spans="1:7" x14ac:dyDescent="0.25">
      <c r="A348">
        <v>345</v>
      </c>
      <c r="B348" s="4">
        <f>-PPMT('Owner Occupier'!$D$41/12,'FHA Amotization'!$A348,360,'Owner Occupier'!$D$40,0,0)</f>
        <v>2269.9419178394287</v>
      </c>
      <c r="C348" s="4">
        <f>-IPMT('Owner Occupier'!$D$41/12,'FHA Amotization'!$A348,360,'Owner Occupier'!$D$40,0,0)</f>
        <v>132.10390411309277</v>
      </c>
      <c r="D348" s="4">
        <f t="shared" si="15"/>
        <v>2402.0458219525217</v>
      </c>
      <c r="E348" s="3">
        <f t="shared" si="16"/>
        <v>35029.983949386973</v>
      </c>
      <c r="F348" s="4">
        <f>('Owner Occupier'!$H$24-'Owner Occupier'!$D$52)/('Owner Occupier'!$D$56-'Owner Occupier'!$D$52)*B348</f>
        <v>1051.7167462625073</v>
      </c>
      <c r="G348" s="4">
        <f t="shared" si="17"/>
        <v>210001.40861699436</v>
      </c>
    </row>
    <row r="349" spans="1:7" x14ac:dyDescent="0.25">
      <c r="A349">
        <v>346</v>
      </c>
      <c r="B349" s="4">
        <f>-PPMT('Owner Occupier'!$D$41/12,'FHA Amotization'!$A349,360,'Owner Occupier'!$D$40,0,0)</f>
        <v>2277.9812954651102</v>
      </c>
      <c r="C349" s="4">
        <f>-IPMT('Owner Occupier'!$D$41/12,'FHA Amotization'!$A349,360,'Owner Occupier'!$D$40,0,0)</f>
        <v>124.06452648741146</v>
      </c>
      <c r="D349" s="4">
        <f t="shared" si="15"/>
        <v>2402.0458219525217</v>
      </c>
      <c r="E349" s="3">
        <f t="shared" si="16"/>
        <v>32752.002653921863</v>
      </c>
      <c r="F349" s="4">
        <f>('Owner Occupier'!$H$24-'Owner Occupier'!$D$52)/('Owner Occupier'!$D$56-'Owner Occupier'!$D$52)*B349</f>
        <v>1055.4415764055204</v>
      </c>
      <c r="G349" s="4">
        <f t="shared" si="17"/>
        <v>211056.85019339988</v>
      </c>
    </row>
    <row r="350" spans="1:7" x14ac:dyDescent="0.25">
      <c r="A350">
        <v>347</v>
      </c>
      <c r="B350" s="4">
        <f>-PPMT('Owner Occupier'!$D$41/12,'FHA Amotization'!$A350,360,'Owner Occupier'!$D$40,0,0)</f>
        <v>2286.0491458865486</v>
      </c>
      <c r="C350" s="4">
        <f>-IPMT('Owner Occupier'!$D$41/12,'FHA Amotization'!$A350,360,'Owner Occupier'!$D$40,0,0)</f>
        <v>115.99667606597251</v>
      </c>
      <c r="D350" s="4">
        <f t="shared" si="15"/>
        <v>2402.0458219525212</v>
      </c>
      <c r="E350" s="3">
        <f t="shared" si="16"/>
        <v>30465.953508035316</v>
      </c>
      <c r="F350" s="4">
        <f>('Owner Occupier'!$H$24-'Owner Occupier'!$D$52)/('Owner Occupier'!$D$56-'Owner Occupier'!$D$52)*B350</f>
        <v>1059.1795986552897</v>
      </c>
      <c r="G350" s="4">
        <f t="shared" si="17"/>
        <v>212116.02979205517</v>
      </c>
    </row>
    <row r="351" spans="1:7" x14ac:dyDescent="0.25">
      <c r="A351">
        <v>348</v>
      </c>
      <c r="B351" s="4">
        <f>-PPMT('Owner Occupier'!$D$41/12,'FHA Amotization'!$A351,360,'Owner Occupier'!$D$40,0,0)</f>
        <v>2294.145569944897</v>
      </c>
      <c r="C351" s="4">
        <f>-IPMT('Owner Occupier'!$D$41/12,'FHA Amotization'!$A351,360,'Owner Occupier'!$D$40,0,0)</f>
        <v>107.90025200762432</v>
      </c>
      <c r="D351" s="4">
        <f t="shared" si="15"/>
        <v>2402.0458219525212</v>
      </c>
      <c r="E351" s="3">
        <f t="shared" si="16"/>
        <v>28171.80793809042</v>
      </c>
      <c r="F351" s="4">
        <f>('Owner Occupier'!$H$24-'Owner Occupier'!$D$52)/('Owner Occupier'!$D$56-'Owner Occupier'!$D$52)*B351</f>
        <v>1062.9308597338606</v>
      </c>
      <c r="G351" s="4">
        <f t="shared" si="17"/>
        <v>213178.96065178904</v>
      </c>
    </row>
    <row r="352" spans="1:7" x14ac:dyDescent="0.25">
      <c r="A352">
        <v>349</v>
      </c>
      <c r="B352" s="4">
        <f>-PPMT('Owner Occupier'!$D$41/12,'FHA Amotization'!$A352,360,'Owner Occupier'!$D$40,0,0)</f>
        <v>2302.2706688384519</v>
      </c>
      <c r="C352" s="4">
        <f>-IPMT('Owner Occupier'!$D$41/12,'FHA Amotization'!$A352,360,'Owner Occupier'!$D$40,0,0)</f>
        <v>99.775153114069482</v>
      </c>
      <c r="D352" s="4">
        <f t="shared" si="15"/>
        <v>2402.0458219525212</v>
      </c>
      <c r="E352" s="3">
        <f t="shared" si="16"/>
        <v>25869.537269251967</v>
      </c>
      <c r="F352" s="4">
        <f>('Owner Occupier'!$H$24-'Owner Occupier'!$D$52)/('Owner Occupier'!$D$56-'Owner Occupier'!$D$52)*B352</f>
        <v>1066.6954065287514</v>
      </c>
      <c r="G352" s="4">
        <f t="shared" si="17"/>
        <v>214245.65605831778</v>
      </c>
    </row>
    <row r="353" spans="1:7" x14ac:dyDescent="0.25">
      <c r="A353">
        <v>350</v>
      </c>
      <c r="B353" s="4">
        <f>-PPMT('Owner Occupier'!$D$41/12,'FHA Amotization'!$A353,360,'Owner Occupier'!$D$40,0,0)</f>
        <v>2310.4245441239214</v>
      </c>
      <c r="C353" s="4">
        <f>-IPMT('Owner Occupier'!$D$41/12,'FHA Amotization'!$A353,360,'Owner Occupier'!$D$40,0,0)</f>
        <v>91.621277828599972</v>
      </c>
      <c r="D353" s="4">
        <f t="shared" si="15"/>
        <v>2402.0458219525212</v>
      </c>
      <c r="E353" s="3">
        <f t="shared" si="16"/>
        <v>23559.112725128045</v>
      </c>
      <c r="F353" s="4">
        <f>('Owner Occupier'!$H$24-'Owner Occupier'!$D$52)/('Owner Occupier'!$D$56-'Owner Occupier'!$D$52)*B353</f>
        <v>1070.4732860935408</v>
      </c>
      <c r="G353" s="4">
        <f t="shared" si="17"/>
        <v>215316.12934441131</v>
      </c>
    </row>
    <row r="354" spans="1:7" x14ac:dyDescent="0.25">
      <c r="A354">
        <v>351</v>
      </c>
      <c r="B354" s="4">
        <f>-PPMT('Owner Occupier'!$D$41/12,'FHA Amotization'!$A354,360,'Owner Occupier'!$D$40,0,0)</f>
        <v>2318.6072977176937</v>
      </c>
      <c r="C354" s="4">
        <f>-IPMT('Owner Occupier'!$D$41/12,'FHA Amotization'!$A354,360,'Owner Occupier'!$D$40,0,0)</f>
        <v>83.438524234827753</v>
      </c>
      <c r="D354" s="4">
        <f t="shared" si="15"/>
        <v>2402.0458219525212</v>
      </c>
      <c r="E354" s="3">
        <f t="shared" si="16"/>
        <v>21240.505427410353</v>
      </c>
      <c r="F354" s="4">
        <f>('Owner Occupier'!$H$24-'Owner Occupier'!$D$52)/('Owner Occupier'!$D$56-'Owner Occupier'!$D$52)*B354</f>
        <v>1074.2645456484554</v>
      </c>
      <c r="G354" s="4">
        <f t="shared" si="17"/>
        <v>216390.39389005976</v>
      </c>
    </row>
    <row r="355" spans="1:7" x14ac:dyDescent="0.25">
      <c r="A355">
        <v>352</v>
      </c>
      <c r="B355" s="4">
        <f>-PPMT('Owner Occupier'!$D$41/12,'FHA Amotization'!$A355,360,'Owner Occupier'!$D$40,0,0)</f>
        <v>2326.8190318971106</v>
      </c>
      <c r="C355" s="4">
        <f>-IPMT('Owner Occupier'!$D$41/12,'FHA Amotization'!$A355,360,'Owner Occupier'!$D$40,0,0)</f>
        <v>75.226790055410916</v>
      </c>
      <c r="D355" s="4">
        <f t="shared" si="15"/>
        <v>2402.0458219525217</v>
      </c>
      <c r="E355" s="3">
        <f t="shared" si="16"/>
        <v>18913.686395513243</v>
      </c>
      <c r="F355" s="4">
        <f>('Owner Occupier'!$H$24-'Owner Occupier'!$D$52)/('Owner Occupier'!$D$56-'Owner Occupier'!$D$52)*B355</f>
        <v>1078.0692325809603</v>
      </c>
      <c r="G355" s="4">
        <f t="shared" si="17"/>
        <v>217468.46312264071</v>
      </c>
    </row>
    <row r="356" spans="1:7" x14ac:dyDescent="0.25">
      <c r="A356">
        <v>353</v>
      </c>
      <c r="B356" s="4">
        <f>-PPMT('Owner Occupier'!$D$41/12,'FHA Amotization'!$A356,360,'Owner Occupier'!$D$40,0,0)</f>
        <v>2335.059849301746</v>
      </c>
      <c r="C356" s="4">
        <f>-IPMT('Owner Occupier'!$D$41/12,'FHA Amotization'!$A356,360,'Owner Occupier'!$D$40,0,0)</f>
        <v>66.985972650775309</v>
      </c>
      <c r="D356" s="4">
        <f t="shared" si="15"/>
        <v>2402.0458219525212</v>
      </c>
      <c r="E356" s="3">
        <f t="shared" si="16"/>
        <v>16578.626546211497</v>
      </c>
      <c r="F356" s="4">
        <f>('Owner Occupier'!$H$24-'Owner Occupier'!$D$52)/('Owner Occupier'!$D$56-'Owner Occupier'!$D$52)*B356</f>
        <v>1081.8873944463512</v>
      </c>
      <c r="G356" s="4">
        <f t="shared" si="17"/>
        <v>218550.35051708706</v>
      </c>
    </row>
    <row r="357" spans="1:7" x14ac:dyDescent="0.25">
      <c r="A357">
        <v>354</v>
      </c>
      <c r="B357" s="4">
        <f>-PPMT('Owner Occupier'!$D$41/12,'FHA Amotization'!$A357,360,'Owner Occupier'!$D$40,0,0)</f>
        <v>2343.3298529346898</v>
      </c>
      <c r="C357" s="4">
        <f>-IPMT('Owner Occupier'!$D$41/12,'FHA Amotization'!$A357,360,'Owner Occupier'!$D$40,0,0)</f>
        <v>58.71596901783164</v>
      </c>
      <c r="D357" s="4">
        <f t="shared" si="15"/>
        <v>2402.0458219525217</v>
      </c>
      <c r="E357" s="3">
        <f t="shared" si="16"/>
        <v>14235.296693276807</v>
      </c>
      <c r="F357" s="4">
        <f>('Owner Occupier'!$H$24-'Owner Occupier'!$D$52)/('Owner Occupier'!$D$56-'Owner Occupier'!$D$52)*B357</f>
        <v>1085.7190789683486</v>
      </c>
      <c r="G357" s="4">
        <f t="shared" si="17"/>
        <v>219636.0695960554</v>
      </c>
    </row>
    <row r="358" spans="1:7" x14ac:dyDescent="0.25">
      <c r="A358">
        <v>355</v>
      </c>
      <c r="B358" s="4">
        <f>-PPMT('Owner Occupier'!$D$41/12,'FHA Amotization'!$A358,360,'Owner Occupier'!$D$40,0,0)</f>
        <v>2351.6291461638334</v>
      </c>
      <c r="C358" s="4">
        <f>-IPMT('Owner Occupier'!$D$41/12,'FHA Amotization'!$A358,360,'Owner Occupier'!$D$40,0,0)</f>
        <v>50.416675788687932</v>
      </c>
      <c r="D358" s="4">
        <f t="shared" si="15"/>
        <v>2402.0458219525212</v>
      </c>
      <c r="E358" s="3">
        <f t="shared" si="16"/>
        <v>11883.667547112973</v>
      </c>
      <c r="F358" s="4">
        <f>('Owner Occupier'!$H$24-'Owner Occupier'!$D$52)/('Owner Occupier'!$D$56-'Owner Occupier'!$D$52)*B358</f>
        <v>1089.5643340396948</v>
      </c>
      <c r="G358" s="4">
        <f t="shared" si="17"/>
        <v>220725.63393009509</v>
      </c>
    </row>
    <row r="359" spans="1:7" x14ac:dyDescent="0.25">
      <c r="A359">
        <v>356</v>
      </c>
      <c r="B359" s="4">
        <f>-PPMT('Owner Occupier'!$D$41/12,'FHA Amotization'!$A359,360,'Owner Occupier'!$D$40,0,0)</f>
        <v>2359.9578327231634</v>
      </c>
      <c r="C359" s="4">
        <f>-IPMT('Owner Occupier'!$D$41/12,'FHA Amotization'!$A359,360,'Owner Occupier'!$D$40,0,0)</f>
        <v>42.087989229357696</v>
      </c>
      <c r="D359" s="4">
        <f t="shared" si="15"/>
        <v>2402.0458219525212</v>
      </c>
      <c r="E359" s="3">
        <f t="shared" si="16"/>
        <v>9523.70971438981</v>
      </c>
      <c r="F359" s="4">
        <f>('Owner Occupier'!$H$24-'Owner Occupier'!$D$52)/('Owner Occupier'!$D$56-'Owner Occupier'!$D$52)*B359</f>
        <v>1093.4232077227521</v>
      </c>
      <c r="G359" s="4">
        <f t="shared" si="17"/>
        <v>221819.05713781784</v>
      </c>
    </row>
    <row r="360" spans="1:7" x14ac:dyDescent="0.25">
      <c r="A360">
        <v>357</v>
      </c>
      <c r="B360" s="4">
        <f>-PPMT('Owner Occupier'!$D$41/12,'FHA Amotization'!$A360,360,'Owner Occupier'!$D$40,0,0)</f>
        <v>2368.3160167140586</v>
      </c>
      <c r="C360" s="4">
        <f>-IPMT('Owner Occupier'!$D$41/12,'FHA Amotization'!$A360,360,'Owner Occupier'!$D$40,0,0)</f>
        <v>33.72980523846315</v>
      </c>
      <c r="D360" s="4">
        <f t="shared" si="15"/>
        <v>2402.0458219525217</v>
      </c>
      <c r="E360" s="3">
        <f t="shared" si="16"/>
        <v>7155.3936976757514</v>
      </c>
      <c r="F360" s="4">
        <f>('Owner Occupier'!$H$24-'Owner Occupier'!$D$52)/('Owner Occupier'!$D$56-'Owner Occupier'!$D$52)*B360</f>
        <v>1097.2957482501038</v>
      </c>
      <c r="G360" s="4">
        <f t="shared" si="17"/>
        <v>222916.35288606794</v>
      </c>
    </row>
    <row r="361" spans="1:7" x14ac:dyDescent="0.25">
      <c r="A361">
        <v>358</v>
      </c>
      <c r="B361" s="4">
        <f>-PPMT('Owner Occupier'!$D$41/12,'FHA Amotization'!$A361,360,'Owner Occupier'!$D$40,0,0)</f>
        <v>2376.703802606587</v>
      </c>
      <c r="C361" s="4">
        <f>-IPMT('Owner Occupier'!$D$41/12,'FHA Amotization'!$A361,360,'Owner Occupier'!$D$40,0,0)</f>
        <v>25.342019345934194</v>
      </c>
      <c r="D361" s="4">
        <f t="shared" si="15"/>
        <v>2402.0458219525212</v>
      </c>
      <c r="E361" s="3">
        <f t="shared" si="16"/>
        <v>4778.6898950691648</v>
      </c>
      <c r="F361" s="4">
        <f>('Owner Occupier'!$H$24-'Owner Occupier'!$D$52)/('Owner Occupier'!$D$56-'Owner Occupier'!$D$52)*B361</f>
        <v>1101.1820040251559</v>
      </c>
      <c r="G361" s="4">
        <f t="shared" si="17"/>
        <v>224017.53489009308</v>
      </c>
    </row>
    <row r="362" spans="1:7" x14ac:dyDescent="0.25">
      <c r="A362">
        <v>359</v>
      </c>
      <c r="B362" s="4">
        <f>-PPMT('Owner Occupier'!$D$41/12,'FHA Amotization'!$A362,360,'Owner Occupier'!$D$40,0,0)</f>
        <v>2385.1212952408191</v>
      </c>
      <c r="C362" s="4">
        <f>-IPMT('Owner Occupier'!$D$41/12,'FHA Amotization'!$A362,360,'Owner Occupier'!$D$40,0,0)</f>
        <v>16.92452671170253</v>
      </c>
      <c r="D362" s="4">
        <f t="shared" si="15"/>
        <v>2402.0458219525217</v>
      </c>
      <c r="E362" s="3">
        <f t="shared" si="16"/>
        <v>2393.5685998283457</v>
      </c>
      <c r="F362" s="4">
        <f>('Owner Occupier'!$H$24-'Owner Occupier'!$D$52)/('Owner Occupier'!$D$56-'Owner Occupier'!$D$52)*B362</f>
        <v>1105.0820236227453</v>
      </c>
      <c r="G362" s="4">
        <f t="shared" si="17"/>
        <v>225122.61691371584</v>
      </c>
    </row>
    <row r="363" spans="1:7" x14ac:dyDescent="0.25">
      <c r="A363">
        <v>360</v>
      </c>
      <c r="B363" s="4">
        <f>-PPMT('Owner Occupier'!$D$41/12,'FHA Amotization'!$A363,360,'Owner Occupier'!$D$40,0,0)</f>
        <v>2393.5685998281306</v>
      </c>
      <c r="C363" s="4">
        <f>-IPMT('Owner Occupier'!$D$41/12,'FHA Amotization'!$A363,360,'Owner Occupier'!$D$40,0,0)</f>
        <v>8.4772221243912966</v>
      </c>
      <c r="D363" s="4">
        <f t="shared" si="15"/>
        <v>2402.0458219525217</v>
      </c>
      <c r="E363" s="3">
        <f t="shared" si="16"/>
        <v>2.1509549696929753E-10</v>
      </c>
      <c r="F363" s="4">
        <f>('Owner Occupier'!$H$24-'Owner Occupier'!$D$52)/('Owner Occupier'!$D$56-'Owner Occupier'!$D$52)*B363</f>
        <v>1108.9958557897426</v>
      </c>
      <c r="G363" s="4">
        <f t="shared" si="17"/>
        <v>226231.61276950559</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9339-C2F6-4859-81D6-DADD0DC5A7C3}">
  <sheetPr codeName="Sheet3"/>
  <dimension ref="A1:J31"/>
  <sheetViews>
    <sheetView workbookViewId="0">
      <selection activeCell="N10" sqref="N10"/>
    </sheetView>
  </sheetViews>
  <sheetFormatPr defaultRowHeight="15" x14ac:dyDescent="0.25"/>
  <cols>
    <col min="3" max="3" width="12.7109375" bestFit="1" customWidth="1"/>
    <col min="5" max="5" width="22.42578125" bestFit="1" customWidth="1"/>
  </cols>
  <sheetData>
    <row r="1" spans="1:10" x14ac:dyDescent="0.25">
      <c r="A1" t="s">
        <v>133</v>
      </c>
      <c r="C1" t="s">
        <v>134</v>
      </c>
      <c r="E1" t="s">
        <v>135</v>
      </c>
      <c r="F1" t="s">
        <v>136</v>
      </c>
    </row>
    <row r="2" spans="1:10" x14ac:dyDescent="0.25">
      <c r="A2" s="2">
        <v>0</v>
      </c>
      <c r="C2" s="2">
        <v>0.01</v>
      </c>
      <c r="E2" s="6">
        <v>0</v>
      </c>
      <c r="F2" s="2">
        <v>0</v>
      </c>
      <c r="H2">
        <v>1</v>
      </c>
      <c r="J2" t="s">
        <v>137</v>
      </c>
    </row>
    <row r="3" spans="1:10" x14ac:dyDescent="0.25">
      <c r="A3" s="6">
        <v>3.5000000000000003E-2</v>
      </c>
      <c r="C3" s="2">
        <v>0.02</v>
      </c>
      <c r="E3" s="6">
        <v>0.01</v>
      </c>
      <c r="F3" s="2">
        <v>0.01</v>
      </c>
      <c r="H3">
        <v>2</v>
      </c>
      <c r="J3" t="s">
        <v>122</v>
      </c>
    </row>
    <row r="4" spans="1:10" x14ac:dyDescent="0.25">
      <c r="A4" s="2">
        <v>0.05</v>
      </c>
      <c r="C4" s="2">
        <v>0.03</v>
      </c>
      <c r="E4" s="6">
        <v>1.4999999999999999E-2</v>
      </c>
      <c r="F4" s="2">
        <v>0.02</v>
      </c>
      <c r="H4">
        <v>3</v>
      </c>
    </row>
    <row r="5" spans="1:10" x14ac:dyDescent="0.25">
      <c r="A5" s="2">
        <v>0.1</v>
      </c>
      <c r="C5" s="2">
        <v>0.04</v>
      </c>
      <c r="E5" s="6">
        <v>0.02</v>
      </c>
      <c r="F5" s="2">
        <v>0.03</v>
      </c>
      <c r="H5">
        <v>4</v>
      </c>
    </row>
    <row r="6" spans="1:10" x14ac:dyDescent="0.25">
      <c r="A6" s="2">
        <v>0.15</v>
      </c>
      <c r="C6" s="2">
        <v>0.05</v>
      </c>
      <c r="E6" s="6">
        <v>0.03</v>
      </c>
      <c r="F6" s="2">
        <v>0.04</v>
      </c>
      <c r="H6">
        <v>5</v>
      </c>
    </row>
    <row r="7" spans="1:10" x14ac:dyDescent="0.25">
      <c r="A7" s="2">
        <v>0.2</v>
      </c>
      <c r="C7" s="2">
        <v>0.06</v>
      </c>
      <c r="E7" s="6">
        <v>0.04</v>
      </c>
      <c r="F7" s="2">
        <v>0.05</v>
      </c>
      <c r="H7">
        <v>6</v>
      </c>
    </row>
    <row r="8" spans="1:10" x14ac:dyDescent="0.25">
      <c r="A8" s="2">
        <v>0.25</v>
      </c>
      <c r="C8" s="2">
        <v>7.0000000000000007E-2</v>
      </c>
      <c r="E8" s="6">
        <v>0.05</v>
      </c>
      <c r="F8" s="2">
        <v>0.06</v>
      </c>
      <c r="H8">
        <v>7</v>
      </c>
    </row>
    <row r="9" spans="1:10" x14ac:dyDescent="0.25">
      <c r="A9" s="2">
        <v>0.3</v>
      </c>
      <c r="C9" s="2">
        <v>0.08</v>
      </c>
      <c r="E9" s="6">
        <v>0.06</v>
      </c>
      <c r="F9" s="2">
        <v>7.0000000000000007E-2</v>
      </c>
      <c r="H9">
        <v>8</v>
      </c>
    </row>
    <row r="10" spans="1:10" x14ac:dyDescent="0.25">
      <c r="A10" s="2">
        <v>0.35</v>
      </c>
      <c r="C10" s="2">
        <v>0.09</v>
      </c>
      <c r="E10" s="6">
        <v>7.0000000000000007E-2</v>
      </c>
      <c r="F10" s="2">
        <v>0.08</v>
      </c>
      <c r="H10">
        <v>9</v>
      </c>
    </row>
    <row r="11" spans="1:10" x14ac:dyDescent="0.25">
      <c r="A11" s="2">
        <f>A10+0.05</f>
        <v>0.39999999999999997</v>
      </c>
      <c r="C11" s="2">
        <v>0.1</v>
      </c>
      <c r="E11" s="6">
        <v>0.08</v>
      </c>
      <c r="F11" s="2">
        <v>0.09</v>
      </c>
      <c r="H11">
        <v>10</v>
      </c>
    </row>
    <row r="12" spans="1:10" x14ac:dyDescent="0.25">
      <c r="A12" s="2">
        <f t="shared" ref="A12:A22" si="0">A11+0.05</f>
        <v>0.44999999999999996</v>
      </c>
      <c r="F12" s="2">
        <v>0.1</v>
      </c>
      <c r="H12">
        <v>11</v>
      </c>
    </row>
    <row r="13" spans="1:10" x14ac:dyDescent="0.25">
      <c r="A13" s="2">
        <f t="shared" si="0"/>
        <v>0.49999999999999994</v>
      </c>
      <c r="H13">
        <v>12</v>
      </c>
    </row>
    <row r="14" spans="1:10" x14ac:dyDescent="0.25">
      <c r="A14" s="2">
        <f t="shared" si="0"/>
        <v>0.54999999999999993</v>
      </c>
      <c r="H14">
        <v>13</v>
      </c>
    </row>
    <row r="15" spans="1:10" x14ac:dyDescent="0.25">
      <c r="A15" s="2">
        <f t="shared" si="0"/>
        <v>0.6</v>
      </c>
      <c r="H15">
        <v>14</v>
      </c>
    </row>
    <row r="16" spans="1:10" x14ac:dyDescent="0.25">
      <c r="A16" s="2">
        <f t="shared" si="0"/>
        <v>0.65</v>
      </c>
      <c r="H16">
        <v>15</v>
      </c>
    </row>
    <row r="17" spans="1:8" x14ac:dyDescent="0.25">
      <c r="A17" s="2">
        <f t="shared" si="0"/>
        <v>0.70000000000000007</v>
      </c>
      <c r="H17">
        <v>16</v>
      </c>
    </row>
    <row r="18" spans="1:8" x14ac:dyDescent="0.25">
      <c r="A18" s="2">
        <f t="shared" si="0"/>
        <v>0.75000000000000011</v>
      </c>
      <c r="H18">
        <v>17</v>
      </c>
    </row>
    <row r="19" spans="1:8" x14ac:dyDescent="0.25">
      <c r="A19" s="2">
        <f>A18+0.05</f>
        <v>0.80000000000000016</v>
      </c>
      <c r="H19">
        <v>18</v>
      </c>
    </row>
    <row r="20" spans="1:8" x14ac:dyDescent="0.25">
      <c r="A20" s="2">
        <f t="shared" si="0"/>
        <v>0.8500000000000002</v>
      </c>
      <c r="H20">
        <v>19</v>
      </c>
    </row>
    <row r="21" spans="1:8" x14ac:dyDescent="0.25">
      <c r="A21" s="2">
        <f t="shared" si="0"/>
        <v>0.90000000000000024</v>
      </c>
      <c r="H21">
        <v>20</v>
      </c>
    </row>
    <row r="22" spans="1:8" x14ac:dyDescent="0.25">
      <c r="A22" s="2">
        <f t="shared" si="0"/>
        <v>0.95000000000000029</v>
      </c>
      <c r="H22">
        <v>21</v>
      </c>
    </row>
    <row r="23" spans="1:8" x14ac:dyDescent="0.25">
      <c r="A23" s="2">
        <f>A22+0.05</f>
        <v>1.0000000000000002</v>
      </c>
      <c r="H23">
        <v>22</v>
      </c>
    </row>
    <row r="24" spans="1:8" x14ac:dyDescent="0.25">
      <c r="H24">
        <v>23</v>
      </c>
    </row>
    <row r="25" spans="1:8" x14ac:dyDescent="0.25">
      <c r="H25">
        <v>24</v>
      </c>
    </row>
    <row r="26" spans="1:8" x14ac:dyDescent="0.25">
      <c r="H26">
        <v>25</v>
      </c>
    </row>
    <row r="27" spans="1:8" x14ac:dyDescent="0.25">
      <c r="H27">
        <v>26</v>
      </c>
    </row>
    <row r="28" spans="1:8" x14ac:dyDescent="0.25">
      <c r="H28">
        <v>27</v>
      </c>
    </row>
    <row r="29" spans="1:8" x14ac:dyDescent="0.25">
      <c r="H29">
        <v>28</v>
      </c>
    </row>
    <row r="30" spans="1:8" x14ac:dyDescent="0.25">
      <c r="H30">
        <v>29</v>
      </c>
    </row>
    <row r="31" spans="1:8" x14ac:dyDescent="0.25">
      <c r="H31">
        <v>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1583-FDA8-48D9-924A-F4FAD3C99270}">
  <sheetPr codeName="Sheet4"/>
  <dimension ref="A1:E363"/>
  <sheetViews>
    <sheetView workbookViewId="0">
      <selection activeCell="F4" sqref="F4"/>
    </sheetView>
  </sheetViews>
  <sheetFormatPr defaultRowHeight="15" x14ac:dyDescent="0.25"/>
  <cols>
    <col min="2" max="2" width="17.28515625" bestFit="1" customWidth="1"/>
    <col min="3" max="3" width="23.5703125" bestFit="1" customWidth="1"/>
    <col min="4" max="4" width="23.5703125" customWidth="1"/>
    <col min="5" max="5" width="17.28515625" bestFit="1" customWidth="1"/>
  </cols>
  <sheetData>
    <row r="1" spans="1:5" ht="18.75" x14ac:dyDescent="0.3">
      <c r="A1" s="114" t="s">
        <v>125</v>
      </c>
      <c r="B1" s="114"/>
      <c r="C1" s="114"/>
      <c r="D1" s="5"/>
      <c r="E1" s="5"/>
    </row>
    <row r="2" spans="1:5" x14ac:dyDescent="0.25">
      <c r="E2" s="15"/>
    </row>
    <row r="3" spans="1:5" x14ac:dyDescent="0.25">
      <c r="A3" s="1" t="s">
        <v>126</v>
      </c>
      <c r="B3" s="1" t="s">
        <v>127</v>
      </c>
      <c r="C3" s="1" t="s">
        <v>128</v>
      </c>
      <c r="D3" s="1" t="s">
        <v>129</v>
      </c>
      <c r="E3" s="1" t="s">
        <v>130</v>
      </c>
    </row>
    <row r="4" spans="1:5" x14ac:dyDescent="0.25">
      <c r="A4">
        <v>1</v>
      </c>
      <c r="B4" s="4">
        <f>-PPMT('With Loan'!$D$41/12,'30% Down Amortization'!$A4,360,'With Loan'!$D$40,0,0)</f>
        <v>533.46988225706673</v>
      </c>
      <c r="C4" s="4">
        <f>-IPMT('With Loan'!$D$41/12,'30% Down Amortization'!$A4,360,'With Loan'!$D$40,0,0)</f>
        <v>1106.8531249999999</v>
      </c>
      <c r="D4" s="4">
        <f>B4+C4</f>
        <v>1640.3230072570666</v>
      </c>
      <c r="E4" s="4">
        <f>'With Loan'!$D$40-'30% Down Amortization'!B4</f>
        <v>353659.53011774295</v>
      </c>
    </row>
    <row r="5" spans="1:5" x14ac:dyDescent="0.25">
      <c r="A5">
        <v>2</v>
      </c>
      <c r="B5" s="4">
        <f>-PPMT('With Loan'!$D$41/12,'30% Down Amortization'!$A5,360,'With Loan'!$D$40,0,0)</f>
        <v>535.1369756391199</v>
      </c>
      <c r="C5" s="4">
        <f>-IPMT('With Loan'!$D$41/12,'30% Down Amortization'!$A5,360,'With Loan'!$D$40,0,0)</f>
        <v>1105.1860316179466</v>
      </c>
      <c r="D5" s="4">
        <f t="shared" ref="D5:D68" si="0">B5+C5</f>
        <v>1640.3230072570664</v>
      </c>
      <c r="E5" s="3">
        <f>E4-B5</f>
        <v>353124.39314210386</v>
      </c>
    </row>
    <row r="6" spans="1:5" x14ac:dyDescent="0.25">
      <c r="A6">
        <v>3</v>
      </c>
      <c r="B6" s="4">
        <f>-PPMT('With Loan'!$D$41/12,'30% Down Amortization'!$A6,360,'With Loan'!$D$40,0,0)</f>
        <v>536.80927868799211</v>
      </c>
      <c r="C6" s="4">
        <f>-IPMT('With Loan'!$D$41/12,'30% Down Amortization'!$A6,360,'With Loan'!$D$40,0,0)</f>
        <v>1103.5137285690744</v>
      </c>
      <c r="D6" s="4">
        <f t="shared" si="0"/>
        <v>1640.3230072570664</v>
      </c>
      <c r="E6" s="3">
        <f t="shared" ref="E6:E33" si="1">E5-B6</f>
        <v>352587.58386341587</v>
      </c>
    </row>
    <row r="7" spans="1:5" x14ac:dyDescent="0.25">
      <c r="A7">
        <v>4</v>
      </c>
      <c r="B7" s="4">
        <f>-PPMT('With Loan'!$D$41/12,'30% Down Amortization'!$A7,360,'With Loan'!$D$40,0,0)</f>
        <v>538.48680768389215</v>
      </c>
      <c r="C7" s="4">
        <f>-IPMT('With Loan'!$D$41/12,'30% Down Amortization'!$A7,360,'With Loan'!$D$40,0,0)</f>
        <v>1101.8361995731743</v>
      </c>
      <c r="D7" s="4">
        <f t="shared" si="0"/>
        <v>1640.3230072570664</v>
      </c>
      <c r="E7" s="3">
        <f t="shared" si="1"/>
        <v>352049.09705573198</v>
      </c>
    </row>
    <row r="8" spans="1:5" x14ac:dyDescent="0.25">
      <c r="A8">
        <v>5</v>
      </c>
      <c r="B8" s="4">
        <f>-PPMT('With Loan'!$D$41/12,'30% Down Amortization'!$A8,360,'With Loan'!$D$40,0,0)</f>
        <v>540.16957895790426</v>
      </c>
      <c r="C8" s="4">
        <f>-IPMT('With Loan'!$D$41/12,'30% Down Amortization'!$A8,360,'With Loan'!$D$40,0,0)</f>
        <v>1100.1534282991624</v>
      </c>
      <c r="D8" s="4">
        <f t="shared" si="0"/>
        <v>1640.3230072570668</v>
      </c>
      <c r="E8" s="3">
        <f t="shared" si="1"/>
        <v>351508.92747677409</v>
      </c>
    </row>
    <row r="9" spans="1:5" x14ac:dyDescent="0.25">
      <c r="A9">
        <v>6</v>
      </c>
      <c r="B9" s="4">
        <f>-PPMT('With Loan'!$D$41/12,'30% Down Amortization'!$A9,360,'With Loan'!$D$40,0,0)</f>
        <v>541.85760889214771</v>
      </c>
      <c r="C9" s="4">
        <f>-IPMT('With Loan'!$D$41/12,'30% Down Amortization'!$A9,360,'With Loan'!$D$40,0,0)</f>
        <v>1098.4653983649187</v>
      </c>
      <c r="D9" s="4">
        <f t="shared" si="0"/>
        <v>1640.3230072570664</v>
      </c>
      <c r="E9" s="3">
        <f t="shared" si="1"/>
        <v>350967.06986788195</v>
      </c>
    </row>
    <row r="10" spans="1:5" x14ac:dyDescent="0.25">
      <c r="A10">
        <v>7</v>
      </c>
      <c r="B10" s="4">
        <f>-PPMT('With Loan'!$D$41/12,'30% Down Amortization'!$A10,360,'With Loan'!$D$40,0,0)</f>
        <v>543.55091391993574</v>
      </c>
      <c r="C10" s="4">
        <f>-IPMT('With Loan'!$D$41/12,'30% Down Amortization'!$A10,360,'With Loan'!$D$40,0,0)</f>
        <v>1096.7720933371309</v>
      </c>
      <c r="D10" s="4">
        <f t="shared" si="0"/>
        <v>1640.3230072570666</v>
      </c>
      <c r="E10" s="3">
        <f t="shared" si="1"/>
        <v>350423.51895396202</v>
      </c>
    </row>
    <row r="11" spans="1:5" x14ac:dyDescent="0.25">
      <c r="A11">
        <v>8</v>
      </c>
      <c r="B11" s="4">
        <f>-PPMT('With Loan'!$D$41/12,'30% Down Amortization'!$A11,360,'With Loan'!$D$40,0,0)</f>
        <v>545.24951052593542</v>
      </c>
      <c r="C11" s="4">
        <f>-IPMT('With Loan'!$D$41/12,'30% Down Amortization'!$A11,360,'With Loan'!$D$40,0,0)</f>
        <v>1095.0734967311309</v>
      </c>
      <c r="D11" s="4">
        <f t="shared" si="0"/>
        <v>1640.3230072570664</v>
      </c>
      <c r="E11" s="3">
        <f t="shared" si="1"/>
        <v>349878.26944343606</v>
      </c>
    </row>
    <row r="12" spans="1:5" x14ac:dyDescent="0.25">
      <c r="A12">
        <v>9</v>
      </c>
      <c r="B12" s="4">
        <f>-PPMT('With Loan'!$D$41/12,'30% Down Amortization'!$A12,360,'With Loan'!$D$40,0,0)</f>
        <v>546.95341524632909</v>
      </c>
      <c r="C12" s="4">
        <f>-IPMT('With Loan'!$D$41/12,'30% Down Amortization'!$A12,360,'With Loan'!$D$40,0,0)</f>
        <v>1093.3695920107375</v>
      </c>
      <c r="D12" s="4">
        <f t="shared" si="0"/>
        <v>1640.3230072570666</v>
      </c>
      <c r="E12" s="3">
        <f t="shared" si="1"/>
        <v>349331.31602818973</v>
      </c>
    </row>
    <row r="13" spans="1:5" x14ac:dyDescent="0.25">
      <c r="A13">
        <v>10</v>
      </c>
      <c r="B13" s="4">
        <f>-PPMT('With Loan'!$D$41/12,'30% Down Amortization'!$A13,360,'With Loan'!$D$40,0,0)</f>
        <v>548.66264466897394</v>
      </c>
      <c r="C13" s="4">
        <f>-IPMT('With Loan'!$D$41/12,'30% Down Amortization'!$A13,360,'With Loan'!$D$40,0,0)</f>
        <v>1091.6603625880925</v>
      </c>
      <c r="D13" s="4">
        <f t="shared" si="0"/>
        <v>1640.3230072570664</v>
      </c>
      <c r="E13" s="3">
        <f t="shared" si="1"/>
        <v>348782.65338352078</v>
      </c>
    </row>
    <row r="14" spans="1:5" x14ac:dyDescent="0.25">
      <c r="A14">
        <v>11</v>
      </c>
      <c r="B14" s="4">
        <f>-PPMT('With Loan'!$D$41/12,'30% Down Amortization'!$A14,360,'With Loan'!$D$40,0,0)</f>
        <v>550.3772154335644</v>
      </c>
      <c r="C14" s="4">
        <f>-IPMT('With Loan'!$D$41/12,'30% Down Amortization'!$A14,360,'With Loan'!$D$40,0,0)</f>
        <v>1089.9457918235021</v>
      </c>
      <c r="D14" s="4">
        <f t="shared" si="0"/>
        <v>1640.3230072570664</v>
      </c>
      <c r="E14" s="3">
        <f t="shared" si="1"/>
        <v>348232.27616808721</v>
      </c>
    </row>
    <row r="15" spans="1:5" x14ac:dyDescent="0.25">
      <c r="A15">
        <v>12</v>
      </c>
      <c r="B15" s="4">
        <f>-PPMT('With Loan'!$D$41/12,'30% Down Amortization'!$A15,360,'With Loan'!$D$40,0,0)</f>
        <v>552.09714423179423</v>
      </c>
      <c r="C15" s="4">
        <f>-IPMT('With Loan'!$D$41/12,'30% Down Amortization'!$A15,360,'With Loan'!$D$40,0,0)</f>
        <v>1088.2258630252722</v>
      </c>
      <c r="D15" s="4">
        <f t="shared" si="0"/>
        <v>1640.3230072570664</v>
      </c>
      <c r="E15" s="3">
        <f t="shared" si="1"/>
        <v>347680.17902385542</v>
      </c>
    </row>
    <row r="16" spans="1:5" x14ac:dyDescent="0.25">
      <c r="A16">
        <v>13</v>
      </c>
      <c r="B16" s="4">
        <f>-PPMT('With Loan'!$D$41/12,'30% Down Amortization'!$A16,360,'With Loan'!$D$40,0,0)</f>
        <v>553.82244780751853</v>
      </c>
      <c r="C16" s="4">
        <f>-IPMT('With Loan'!$D$41/12,'30% Down Amortization'!$A16,360,'With Loan'!$D$40,0,0)</f>
        <v>1086.5005594495478</v>
      </c>
      <c r="D16" s="4">
        <f t="shared" si="0"/>
        <v>1640.3230072570664</v>
      </c>
      <c r="E16" s="3">
        <f t="shared" si="1"/>
        <v>347126.3565760479</v>
      </c>
    </row>
    <row r="17" spans="1:5" x14ac:dyDescent="0.25">
      <c r="A17">
        <v>14</v>
      </c>
      <c r="B17" s="4">
        <f>-PPMT('With Loan'!$D$41/12,'30% Down Amortization'!$A17,360,'With Loan'!$D$40,0,0)</f>
        <v>555.55314295691721</v>
      </c>
      <c r="C17" s="4">
        <f>-IPMT('With Loan'!$D$41/12,'30% Down Amortization'!$A17,360,'With Loan'!$D$40,0,0)</f>
        <v>1084.7698643001493</v>
      </c>
      <c r="D17" s="4">
        <f t="shared" si="0"/>
        <v>1640.3230072570664</v>
      </c>
      <c r="E17" s="3">
        <f t="shared" si="1"/>
        <v>346570.80343309097</v>
      </c>
    </row>
    <row r="18" spans="1:5" x14ac:dyDescent="0.25">
      <c r="A18">
        <v>15</v>
      </c>
      <c r="B18" s="4">
        <f>-PPMT('With Loan'!$D$41/12,'30% Down Amortization'!$A18,360,'With Loan'!$D$40,0,0)</f>
        <v>557.28924652865749</v>
      </c>
      <c r="C18" s="4">
        <f>-IPMT('With Loan'!$D$41/12,'30% Down Amortization'!$A18,360,'With Loan'!$D$40,0,0)</f>
        <v>1083.0337607284091</v>
      </c>
      <c r="D18" s="4">
        <f t="shared" si="0"/>
        <v>1640.3230072570666</v>
      </c>
      <c r="E18" s="3">
        <f t="shared" si="1"/>
        <v>346013.51418656233</v>
      </c>
    </row>
    <row r="19" spans="1:5" x14ac:dyDescent="0.25">
      <c r="A19">
        <v>16</v>
      </c>
      <c r="B19" s="4">
        <f>-PPMT('With Loan'!$D$41/12,'30% Down Amortization'!$A19,360,'With Loan'!$D$40,0,0)</f>
        <v>559.03077542405947</v>
      </c>
      <c r="C19" s="4">
        <f>-IPMT('With Loan'!$D$41/12,'30% Down Amortization'!$A19,360,'With Loan'!$D$40,0,0)</f>
        <v>1081.292231833007</v>
      </c>
      <c r="D19" s="4">
        <f t="shared" si="0"/>
        <v>1640.3230072570664</v>
      </c>
      <c r="E19" s="3">
        <f t="shared" si="1"/>
        <v>345454.4834111383</v>
      </c>
    </row>
    <row r="20" spans="1:5" x14ac:dyDescent="0.25">
      <c r="A20">
        <v>17</v>
      </c>
      <c r="B20" s="4">
        <f>-PPMT('With Loan'!$D$41/12,'30% Down Amortization'!$A20,360,'With Loan'!$D$40,0,0)</f>
        <v>560.77774659725981</v>
      </c>
      <c r="C20" s="4">
        <f>-IPMT('With Loan'!$D$41/12,'30% Down Amortization'!$A20,360,'With Loan'!$D$40,0,0)</f>
        <v>1079.5452606598067</v>
      </c>
      <c r="D20" s="4">
        <f t="shared" si="0"/>
        <v>1640.3230072570664</v>
      </c>
      <c r="E20" s="3">
        <f t="shared" si="1"/>
        <v>344893.70566454105</v>
      </c>
    </row>
    <row r="21" spans="1:5" x14ac:dyDescent="0.25">
      <c r="A21">
        <v>18</v>
      </c>
      <c r="B21" s="4">
        <f>-PPMT('With Loan'!$D$41/12,'30% Down Amortization'!$A21,360,'With Loan'!$D$40,0,0)</f>
        <v>562.53017705537616</v>
      </c>
      <c r="C21" s="4">
        <f>-IPMT('With Loan'!$D$41/12,'30% Down Amortization'!$A21,360,'With Loan'!$D$40,0,0)</f>
        <v>1077.7928302016903</v>
      </c>
      <c r="D21" s="4">
        <f t="shared" si="0"/>
        <v>1640.3230072570664</v>
      </c>
      <c r="E21" s="3">
        <f t="shared" si="1"/>
        <v>344331.17548748566</v>
      </c>
    </row>
    <row r="22" spans="1:5" x14ac:dyDescent="0.25">
      <c r="A22">
        <v>19</v>
      </c>
      <c r="B22" s="4">
        <f>-PPMT('With Loan'!$D$41/12,'30% Down Amortization'!$A22,360,'With Loan'!$D$40,0,0)</f>
        <v>564.28808385867421</v>
      </c>
      <c r="C22" s="4">
        <f>-IPMT('With Loan'!$D$41/12,'30% Down Amortization'!$A22,360,'With Loan'!$D$40,0,0)</f>
        <v>1076.0349233983925</v>
      </c>
      <c r="D22" s="4">
        <f t="shared" si="0"/>
        <v>1640.3230072570668</v>
      </c>
      <c r="E22" s="3">
        <f t="shared" si="1"/>
        <v>343766.88740362698</v>
      </c>
    </row>
    <row r="23" spans="1:5" x14ac:dyDescent="0.25">
      <c r="A23">
        <v>20</v>
      </c>
      <c r="B23" s="4">
        <f>-PPMT('With Loan'!$D$41/12,'30% Down Amortization'!$A23,360,'With Loan'!$D$40,0,0)</f>
        <v>566.05148412073265</v>
      </c>
      <c r="C23" s="4">
        <f>-IPMT('With Loan'!$D$41/12,'30% Down Amortization'!$A23,360,'With Loan'!$D$40,0,0)</f>
        <v>1074.2715231363338</v>
      </c>
      <c r="D23" s="4">
        <f t="shared" si="0"/>
        <v>1640.3230072570664</v>
      </c>
      <c r="E23" s="3">
        <f t="shared" si="1"/>
        <v>343200.83591950627</v>
      </c>
    </row>
    <row r="24" spans="1:5" x14ac:dyDescent="0.25">
      <c r="A24">
        <v>21</v>
      </c>
      <c r="B24" s="4">
        <f>-PPMT('With Loan'!$D$41/12,'30% Down Amortization'!$A24,360,'With Loan'!$D$40,0,0)</f>
        <v>567.82039500860992</v>
      </c>
      <c r="C24" s="4">
        <f>-IPMT('With Loan'!$D$41/12,'30% Down Amortization'!$A24,360,'With Loan'!$D$40,0,0)</f>
        <v>1072.5026122484567</v>
      </c>
      <c r="D24" s="4">
        <f t="shared" si="0"/>
        <v>1640.3230072570666</v>
      </c>
      <c r="E24" s="3">
        <f t="shared" si="1"/>
        <v>342633.01552449766</v>
      </c>
    </row>
    <row r="25" spans="1:5" x14ac:dyDescent="0.25">
      <c r="A25">
        <v>22</v>
      </c>
      <c r="B25" s="4">
        <f>-PPMT('With Loan'!$D$41/12,'30% Down Amortization'!$A25,360,'With Loan'!$D$40,0,0)</f>
        <v>569.5948337430118</v>
      </c>
      <c r="C25" s="4">
        <f>-IPMT('With Loan'!$D$41/12,'30% Down Amortization'!$A25,360,'With Loan'!$D$40,0,0)</f>
        <v>1070.7281735140548</v>
      </c>
      <c r="D25" s="4">
        <f t="shared" si="0"/>
        <v>1640.3230072570666</v>
      </c>
      <c r="E25" s="3">
        <f t="shared" si="1"/>
        <v>342063.42069075466</v>
      </c>
    </row>
    <row r="26" spans="1:5" x14ac:dyDescent="0.25">
      <c r="A26">
        <v>23</v>
      </c>
      <c r="B26" s="4">
        <f>-PPMT('With Loan'!$D$41/12,'30% Down Amortization'!$A26,360,'With Loan'!$D$40,0,0)</f>
        <v>571.37481759845878</v>
      </c>
      <c r="C26" s="4">
        <f>-IPMT('With Loan'!$D$41/12,'30% Down Amortization'!$A26,360,'With Loan'!$D$40,0,0)</f>
        <v>1068.9481896586076</v>
      </c>
      <c r="D26" s="4">
        <f t="shared" si="0"/>
        <v>1640.3230072570664</v>
      </c>
      <c r="E26" s="3">
        <f t="shared" si="1"/>
        <v>341492.04587315622</v>
      </c>
    </row>
    <row r="27" spans="1:5" x14ac:dyDescent="0.25">
      <c r="A27">
        <v>24</v>
      </c>
      <c r="B27" s="4">
        <f>-PPMT('With Loan'!$D$41/12,'30% Down Amortization'!$A27,360,'With Loan'!$D$40,0,0)</f>
        <v>573.1603639034538</v>
      </c>
      <c r="C27" s="4">
        <f>-IPMT('With Loan'!$D$41/12,'30% Down Amortization'!$A27,360,'With Loan'!$D$40,0,0)</f>
        <v>1067.1626433536126</v>
      </c>
      <c r="D27" s="4">
        <f t="shared" si="0"/>
        <v>1640.3230072570664</v>
      </c>
      <c r="E27" s="3">
        <f t="shared" si="1"/>
        <v>340918.88550925278</v>
      </c>
    </row>
    <row r="28" spans="1:5" x14ac:dyDescent="0.25">
      <c r="A28">
        <v>25</v>
      </c>
      <c r="B28" s="4">
        <f>-PPMT('With Loan'!$D$41/12,'30% Down Amortization'!$A28,360,'With Loan'!$D$40,0,0)</f>
        <v>574.95149004065206</v>
      </c>
      <c r="C28" s="4">
        <f>-IPMT('With Loan'!$D$41/12,'30% Down Amortization'!$A28,360,'With Loan'!$D$40,0,0)</f>
        <v>1065.3715172164143</v>
      </c>
      <c r="D28" s="4">
        <f t="shared" si="0"/>
        <v>1640.3230072570664</v>
      </c>
      <c r="E28" s="3">
        <f t="shared" si="1"/>
        <v>340343.93401921215</v>
      </c>
    </row>
    <row r="29" spans="1:5" x14ac:dyDescent="0.25">
      <c r="A29">
        <v>26</v>
      </c>
      <c r="B29" s="4">
        <f>-PPMT('With Loan'!$D$41/12,'30% Down Amortization'!$A29,360,'With Loan'!$D$40,0,0)</f>
        <v>576.74821344702923</v>
      </c>
      <c r="C29" s="4">
        <f>-IPMT('With Loan'!$D$41/12,'30% Down Amortization'!$A29,360,'With Loan'!$D$40,0,0)</f>
        <v>1063.5747938100374</v>
      </c>
      <c r="D29" s="4">
        <f t="shared" si="0"/>
        <v>1640.3230072570666</v>
      </c>
      <c r="E29" s="3">
        <f t="shared" si="1"/>
        <v>339767.1858057651</v>
      </c>
    </row>
    <row r="30" spans="1:5" x14ac:dyDescent="0.25">
      <c r="A30">
        <v>27</v>
      </c>
      <c r="B30" s="4">
        <f>-PPMT('With Loan'!$D$41/12,'30% Down Amortization'!$A30,360,'With Loan'!$D$40,0,0)</f>
        <v>578.55055161405107</v>
      </c>
      <c r="C30" s="4">
        <f>-IPMT('With Loan'!$D$41/12,'30% Down Amortization'!$A30,360,'With Loan'!$D$40,0,0)</f>
        <v>1061.7724556430153</v>
      </c>
      <c r="D30" s="4">
        <f t="shared" si="0"/>
        <v>1640.3230072570664</v>
      </c>
      <c r="E30" s="3">
        <f t="shared" si="1"/>
        <v>339188.63525415107</v>
      </c>
    </row>
    <row r="31" spans="1:5" x14ac:dyDescent="0.25">
      <c r="A31">
        <v>28</v>
      </c>
      <c r="B31" s="4">
        <f>-PPMT('With Loan'!$D$41/12,'30% Down Amortization'!$A31,360,'With Loan'!$D$40,0,0)</f>
        <v>580.35852208784502</v>
      </c>
      <c r="C31" s="4">
        <f>-IPMT('With Loan'!$D$41/12,'30% Down Amortization'!$A31,360,'With Loan'!$D$40,0,0)</f>
        <v>1059.9644851692217</v>
      </c>
      <c r="D31" s="4">
        <f t="shared" si="0"/>
        <v>1640.3230072570668</v>
      </c>
      <c r="E31" s="3">
        <f t="shared" si="1"/>
        <v>338608.27673206321</v>
      </c>
    </row>
    <row r="32" spans="1:5" x14ac:dyDescent="0.25">
      <c r="A32">
        <v>29</v>
      </c>
      <c r="B32" s="4">
        <f>-PPMT('With Loan'!$D$41/12,'30% Down Amortization'!$A32,360,'With Loan'!$D$40,0,0)</f>
        <v>582.17214246936965</v>
      </c>
      <c r="C32" s="4">
        <f>-IPMT('With Loan'!$D$41/12,'30% Down Amortization'!$A32,360,'With Loan'!$D$40,0,0)</f>
        <v>1058.1508647876969</v>
      </c>
      <c r="D32" s="4">
        <f t="shared" si="0"/>
        <v>1640.3230072570666</v>
      </c>
      <c r="E32" s="3">
        <f t="shared" si="1"/>
        <v>338026.10458959383</v>
      </c>
    </row>
    <row r="33" spans="1:5" x14ac:dyDescent="0.25">
      <c r="A33">
        <v>30</v>
      </c>
      <c r="B33" s="4">
        <f>-PPMT('With Loan'!$D$41/12,'30% Down Amortization'!$A33,360,'With Loan'!$D$40,0,0)</f>
        <v>583.99143041458638</v>
      </c>
      <c r="C33" s="4">
        <f>-IPMT('With Loan'!$D$41/12,'30% Down Amortization'!$A33,360,'With Loan'!$D$40,0,0)</f>
        <v>1056.33157684248</v>
      </c>
      <c r="D33" s="4">
        <f t="shared" si="0"/>
        <v>1640.3230072570664</v>
      </c>
      <c r="E33" s="3">
        <f t="shared" si="1"/>
        <v>337442.11315917922</v>
      </c>
    </row>
    <row r="34" spans="1:5" x14ac:dyDescent="0.25">
      <c r="A34">
        <v>31</v>
      </c>
      <c r="B34" s="4">
        <f>-PPMT('With Loan'!$D$41/12,'30% Down Amortization'!$A34,360,'With Loan'!$D$40,0,0)</f>
        <v>585.81640363463191</v>
      </c>
      <c r="C34" s="4">
        <f>-IPMT('With Loan'!$D$41/12,'30% Down Amortization'!$A34,360,'With Loan'!$D$40,0,0)</f>
        <v>1054.5066036224346</v>
      </c>
      <c r="D34" s="4">
        <f t="shared" si="0"/>
        <v>1640.3230072570664</v>
      </c>
      <c r="E34" s="3">
        <f t="shared" ref="E34:E97" si="2">E33-B34</f>
        <v>336856.29675554461</v>
      </c>
    </row>
    <row r="35" spans="1:5" x14ac:dyDescent="0.25">
      <c r="A35">
        <v>32</v>
      </c>
      <c r="B35" s="4">
        <f>-PPMT('With Loan'!$D$41/12,'30% Down Amortization'!$A35,360,'With Loan'!$D$40,0,0)</f>
        <v>587.64707989599026</v>
      </c>
      <c r="C35" s="4">
        <f>-IPMT('With Loan'!$D$41/12,'30% Down Amortization'!$A35,360,'With Loan'!$D$40,0,0)</f>
        <v>1052.6759273610762</v>
      </c>
      <c r="D35" s="4">
        <f t="shared" si="0"/>
        <v>1640.3230072570664</v>
      </c>
      <c r="E35" s="3">
        <f t="shared" si="2"/>
        <v>336268.6496756486</v>
      </c>
    </row>
    <row r="36" spans="1:5" x14ac:dyDescent="0.25">
      <c r="A36">
        <v>33</v>
      </c>
      <c r="B36" s="4">
        <f>-PPMT('With Loan'!$D$41/12,'30% Down Amortization'!$A36,360,'With Loan'!$D$40,0,0)</f>
        <v>589.48347702066508</v>
      </c>
      <c r="C36" s="4">
        <f>-IPMT('With Loan'!$D$41/12,'30% Down Amortization'!$A36,360,'With Loan'!$D$40,0,0)</f>
        <v>1050.8395302364015</v>
      </c>
      <c r="D36" s="4">
        <f t="shared" si="0"/>
        <v>1640.3230072570666</v>
      </c>
      <c r="E36" s="3">
        <f t="shared" si="2"/>
        <v>335679.16619862797</v>
      </c>
    </row>
    <row r="37" spans="1:5" x14ac:dyDescent="0.25">
      <c r="A37">
        <v>34</v>
      </c>
      <c r="B37" s="4">
        <f>-PPMT('With Loan'!$D$41/12,'30% Down Amortization'!$A37,360,'With Loan'!$D$40,0,0)</f>
        <v>591.32561288635463</v>
      </c>
      <c r="C37" s="4">
        <f>-IPMT('With Loan'!$D$41/12,'30% Down Amortization'!$A37,360,'With Loan'!$D$40,0,0)</f>
        <v>1048.9973943707118</v>
      </c>
      <c r="D37" s="4">
        <f t="shared" si="0"/>
        <v>1640.3230072570664</v>
      </c>
      <c r="E37" s="3">
        <f t="shared" si="2"/>
        <v>335087.84058574162</v>
      </c>
    </row>
    <row r="38" spans="1:5" x14ac:dyDescent="0.25">
      <c r="A38">
        <v>35</v>
      </c>
      <c r="B38" s="4">
        <f>-PPMT('With Loan'!$D$41/12,'30% Down Amortization'!$A38,360,'With Loan'!$D$40,0,0)</f>
        <v>593.17350542662462</v>
      </c>
      <c r="C38" s="4">
        <f>-IPMT('With Loan'!$D$41/12,'30% Down Amortization'!$A38,360,'With Loan'!$D$40,0,0)</f>
        <v>1047.149501830442</v>
      </c>
      <c r="D38" s="4">
        <f t="shared" si="0"/>
        <v>1640.3230072570666</v>
      </c>
      <c r="E38" s="3">
        <f t="shared" si="2"/>
        <v>334494.667080315</v>
      </c>
    </row>
    <row r="39" spans="1:5" x14ac:dyDescent="0.25">
      <c r="A39">
        <v>36</v>
      </c>
      <c r="B39" s="4">
        <f>-PPMT('With Loan'!$D$41/12,'30% Down Amortization'!$A39,360,'With Loan'!$D$40,0,0)</f>
        <v>595.02717263108275</v>
      </c>
      <c r="C39" s="4">
        <f>-IPMT('With Loan'!$D$41/12,'30% Down Amortization'!$A39,360,'With Loan'!$D$40,0,0)</f>
        <v>1045.2958346259838</v>
      </c>
      <c r="D39" s="4">
        <f t="shared" si="0"/>
        <v>1640.3230072570666</v>
      </c>
      <c r="E39" s="3">
        <f t="shared" si="2"/>
        <v>333899.63990768394</v>
      </c>
    </row>
    <row r="40" spans="1:5" x14ac:dyDescent="0.25">
      <c r="A40">
        <v>37</v>
      </c>
      <c r="B40" s="4">
        <f>-PPMT('With Loan'!$D$41/12,'30% Down Amortization'!$A40,360,'With Loan'!$D$40,0,0)</f>
        <v>596.8866325455549</v>
      </c>
      <c r="C40" s="4">
        <f>-IPMT('With Loan'!$D$41/12,'30% Down Amortization'!$A40,360,'With Loan'!$D$40,0,0)</f>
        <v>1043.4363747115117</v>
      </c>
      <c r="D40" s="4">
        <f t="shared" si="0"/>
        <v>1640.3230072570666</v>
      </c>
      <c r="E40" s="3">
        <f t="shared" si="2"/>
        <v>333302.75327513838</v>
      </c>
    </row>
    <row r="41" spans="1:5" x14ac:dyDescent="0.25">
      <c r="A41">
        <v>38</v>
      </c>
      <c r="B41" s="4">
        <f>-PPMT('With Loan'!$D$41/12,'30% Down Amortization'!$A41,360,'With Loan'!$D$40,0,0)</f>
        <v>598.75190327225982</v>
      </c>
      <c r="C41" s="4">
        <f>-IPMT('With Loan'!$D$41/12,'30% Down Amortization'!$A41,360,'With Loan'!$D$40,0,0)</f>
        <v>1041.5711039848068</v>
      </c>
      <c r="D41" s="4">
        <f t="shared" si="0"/>
        <v>1640.3230072570666</v>
      </c>
      <c r="E41" s="3">
        <f t="shared" si="2"/>
        <v>332704.00137186615</v>
      </c>
    </row>
    <row r="42" spans="1:5" x14ac:dyDescent="0.25">
      <c r="A42">
        <v>39</v>
      </c>
      <c r="B42" s="4">
        <f>-PPMT('With Loan'!$D$41/12,'30% Down Amortization'!$A42,360,'With Loan'!$D$40,0,0)</f>
        <v>600.62300296998558</v>
      </c>
      <c r="C42" s="4">
        <f>-IPMT('With Loan'!$D$41/12,'30% Down Amortization'!$A42,360,'With Loan'!$D$40,0,0)</f>
        <v>1039.7000042870807</v>
      </c>
      <c r="D42" s="4">
        <f t="shared" si="0"/>
        <v>1640.3230072570664</v>
      </c>
      <c r="E42" s="3">
        <f t="shared" si="2"/>
        <v>332103.37836889614</v>
      </c>
    </row>
    <row r="43" spans="1:5" x14ac:dyDescent="0.25">
      <c r="A43">
        <v>40</v>
      </c>
      <c r="B43" s="4">
        <f>-PPMT('With Loan'!$D$41/12,'30% Down Amortization'!$A43,360,'With Loan'!$D$40,0,0)</f>
        <v>602.49994985426667</v>
      </c>
      <c r="C43" s="4">
        <f>-IPMT('With Loan'!$D$41/12,'30% Down Amortization'!$A43,360,'With Loan'!$D$40,0,0)</f>
        <v>1037.8230574027996</v>
      </c>
      <c r="D43" s="4">
        <f t="shared" si="0"/>
        <v>1640.3230072570664</v>
      </c>
      <c r="E43" s="3">
        <f t="shared" si="2"/>
        <v>331500.87841904187</v>
      </c>
    </row>
    <row r="44" spans="1:5" x14ac:dyDescent="0.25">
      <c r="A44">
        <v>41</v>
      </c>
      <c r="B44" s="4">
        <f>-PPMT('With Loan'!$D$41/12,'30% Down Amortization'!$A44,360,'With Loan'!$D$40,0,0)</f>
        <v>604.38276219756142</v>
      </c>
      <c r="C44" s="4">
        <f>-IPMT('With Loan'!$D$41/12,'30% Down Amortization'!$A44,360,'With Loan'!$D$40,0,0)</f>
        <v>1035.9402450595053</v>
      </c>
      <c r="D44" s="4">
        <f t="shared" si="0"/>
        <v>1640.3230072570668</v>
      </c>
      <c r="E44" s="3">
        <f t="shared" si="2"/>
        <v>330896.49565684429</v>
      </c>
    </row>
    <row r="45" spans="1:5" x14ac:dyDescent="0.25">
      <c r="A45">
        <v>42</v>
      </c>
      <c r="B45" s="4">
        <f>-PPMT('With Loan'!$D$41/12,'30% Down Amortization'!$A45,360,'With Loan'!$D$40,0,0)</f>
        <v>606.27145832942881</v>
      </c>
      <c r="C45" s="4">
        <f>-IPMT('With Loan'!$D$41/12,'30% Down Amortization'!$A45,360,'With Loan'!$D$40,0,0)</f>
        <v>1034.0515489276377</v>
      </c>
      <c r="D45" s="4">
        <f t="shared" si="0"/>
        <v>1640.3230072570664</v>
      </c>
      <c r="E45" s="3">
        <f t="shared" si="2"/>
        <v>330290.22419851489</v>
      </c>
    </row>
    <row r="46" spans="1:5" x14ac:dyDescent="0.25">
      <c r="A46">
        <v>43</v>
      </c>
      <c r="B46" s="4">
        <f>-PPMT('With Loan'!$D$41/12,'30% Down Amortization'!$A46,360,'With Loan'!$D$40,0,0)</f>
        <v>608.16605663670828</v>
      </c>
      <c r="C46" s="4">
        <f>-IPMT('With Loan'!$D$41/12,'30% Down Amortization'!$A46,360,'With Loan'!$D$40,0,0)</f>
        <v>1032.1569506203582</v>
      </c>
      <c r="D46" s="4">
        <f t="shared" si="0"/>
        <v>1640.3230072570664</v>
      </c>
      <c r="E46" s="3">
        <f t="shared" si="2"/>
        <v>329682.05814187817</v>
      </c>
    </row>
    <row r="47" spans="1:5" x14ac:dyDescent="0.25">
      <c r="A47">
        <v>44</v>
      </c>
      <c r="B47" s="4">
        <f>-PPMT('With Loan'!$D$41/12,'30% Down Amortization'!$A47,360,'With Loan'!$D$40,0,0)</f>
        <v>610.06657556369794</v>
      </c>
      <c r="C47" s="4">
        <f>-IPMT('With Loan'!$D$41/12,'30% Down Amortization'!$A47,360,'With Loan'!$D$40,0,0)</f>
        <v>1030.2564316933685</v>
      </c>
      <c r="D47" s="4">
        <f t="shared" si="0"/>
        <v>1640.3230072570664</v>
      </c>
      <c r="E47" s="3">
        <f t="shared" si="2"/>
        <v>329071.99156631448</v>
      </c>
    </row>
    <row r="48" spans="1:5" x14ac:dyDescent="0.25">
      <c r="A48">
        <v>45</v>
      </c>
      <c r="B48" s="4">
        <f>-PPMT('With Loan'!$D$41/12,'30% Down Amortization'!$A48,360,'With Loan'!$D$40,0,0)</f>
        <v>611.97303361233446</v>
      </c>
      <c r="C48" s="4">
        <f>-IPMT('With Loan'!$D$41/12,'30% Down Amortization'!$A48,360,'With Loan'!$D$40,0,0)</f>
        <v>1028.349973644732</v>
      </c>
      <c r="D48" s="4">
        <f t="shared" si="0"/>
        <v>1640.3230072570664</v>
      </c>
      <c r="E48" s="3">
        <f t="shared" si="2"/>
        <v>328460.01853270212</v>
      </c>
    </row>
    <row r="49" spans="1:5" x14ac:dyDescent="0.25">
      <c r="A49">
        <v>46</v>
      </c>
      <c r="B49" s="4">
        <f>-PPMT('With Loan'!$D$41/12,'30% Down Amortization'!$A49,360,'With Loan'!$D$40,0,0)</f>
        <v>613.88544934237302</v>
      </c>
      <c r="C49" s="4">
        <f>-IPMT('With Loan'!$D$41/12,'30% Down Amortization'!$A49,360,'With Loan'!$D$40,0,0)</f>
        <v>1026.4375579146936</v>
      </c>
      <c r="D49" s="4">
        <f t="shared" si="0"/>
        <v>1640.3230072570666</v>
      </c>
      <c r="E49" s="3">
        <f t="shared" si="2"/>
        <v>327846.13308335975</v>
      </c>
    </row>
    <row r="50" spans="1:5" x14ac:dyDescent="0.25">
      <c r="A50">
        <v>47</v>
      </c>
      <c r="B50" s="4">
        <f>-PPMT('With Loan'!$D$41/12,'30% Down Amortization'!$A50,360,'With Loan'!$D$40,0,0)</f>
        <v>615.80384137156796</v>
      </c>
      <c r="C50" s="4">
        <f>-IPMT('With Loan'!$D$41/12,'30% Down Amortization'!$A50,360,'With Loan'!$D$40,0,0)</f>
        <v>1024.5191658854983</v>
      </c>
      <c r="D50" s="4">
        <f t="shared" si="0"/>
        <v>1640.3230072570664</v>
      </c>
      <c r="E50" s="3">
        <f t="shared" si="2"/>
        <v>327230.32924198819</v>
      </c>
    </row>
    <row r="51" spans="1:5" x14ac:dyDescent="0.25">
      <c r="A51">
        <v>48</v>
      </c>
      <c r="B51" s="4">
        <f>-PPMT('With Loan'!$D$41/12,'30% Down Amortization'!$A51,360,'With Loan'!$D$40,0,0)</f>
        <v>617.72822837585409</v>
      </c>
      <c r="C51" s="4">
        <f>-IPMT('With Loan'!$D$41/12,'30% Down Amortization'!$A51,360,'With Loan'!$D$40,0,0)</f>
        <v>1022.5947788812123</v>
      </c>
      <c r="D51" s="4">
        <f t="shared" si="0"/>
        <v>1640.3230072570664</v>
      </c>
      <c r="E51" s="3">
        <f t="shared" si="2"/>
        <v>326612.60101361235</v>
      </c>
    </row>
    <row r="52" spans="1:5" x14ac:dyDescent="0.25">
      <c r="A52">
        <v>49</v>
      </c>
      <c r="B52" s="4">
        <f>-PPMT('With Loan'!$D$41/12,'30% Down Amortization'!$A52,360,'With Loan'!$D$40,0,0)</f>
        <v>619.65862908952863</v>
      </c>
      <c r="C52" s="4">
        <f>-IPMT('With Loan'!$D$41/12,'30% Down Amortization'!$A52,360,'With Loan'!$D$40,0,0)</f>
        <v>1020.664378167538</v>
      </c>
      <c r="D52" s="4">
        <f t="shared" si="0"/>
        <v>1640.3230072570666</v>
      </c>
      <c r="E52" s="3">
        <f t="shared" si="2"/>
        <v>325992.94238452282</v>
      </c>
    </row>
    <row r="53" spans="1:5" x14ac:dyDescent="0.25">
      <c r="A53">
        <v>50</v>
      </c>
      <c r="B53" s="4">
        <f>-PPMT('With Loan'!$D$41/12,'30% Down Amortization'!$A53,360,'With Loan'!$D$40,0,0)</f>
        <v>621.59506230543343</v>
      </c>
      <c r="C53" s="4">
        <f>-IPMT('With Loan'!$D$41/12,'30% Down Amortization'!$A53,360,'With Loan'!$D$40,0,0)</f>
        <v>1018.7279449516332</v>
      </c>
      <c r="D53" s="4">
        <f t="shared" si="0"/>
        <v>1640.3230072570666</v>
      </c>
      <c r="E53" s="3">
        <f t="shared" si="2"/>
        <v>325371.34732221736</v>
      </c>
    </row>
    <row r="54" spans="1:5" x14ac:dyDescent="0.25">
      <c r="A54">
        <v>51</v>
      </c>
      <c r="B54" s="4">
        <f>-PPMT('With Loan'!$D$41/12,'30% Down Amortization'!$A54,360,'With Loan'!$D$40,0,0)</f>
        <v>623.53754687513799</v>
      </c>
      <c r="C54" s="4">
        <f>-IPMT('With Loan'!$D$41/12,'30% Down Amortization'!$A54,360,'With Loan'!$D$40,0,0)</f>
        <v>1016.7854603819286</v>
      </c>
      <c r="D54" s="4">
        <f t="shared" si="0"/>
        <v>1640.3230072570666</v>
      </c>
      <c r="E54" s="3">
        <f t="shared" si="2"/>
        <v>324747.80977534223</v>
      </c>
    </row>
    <row r="55" spans="1:5" x14ac:dyDescent="0.25">
      <c r="A55">
        <v>52</v>
      </c>
      <c r="B55" s="4">
        <f>-PPMT('With Loan'!$D$41/12,'30% Down Amortization'!$A55,360,'With Loan'!$D$40,0,0)</f>
        <v>625.48610170912264</v>
      </c>
      <c r="C55" s="4">
        <f>-IPMT('With Loan'!$D$41/12,'30% Down Amortization'!$A55,360,'With Loan'!$D$40,0,0)</f>
        <v>1014.8369055479436</v>
      </c>
      <c r="D55" s="4">
        <f t="shared" si="0"/>
        <v>1640.3230072570664</v>
      </c>
      <c r="E55" s="3">
        <f t="shared" si="2"/>
        <v>324122.3236736331</v>
      </c>
    </row>
    <row r="56" spans="1:5" x14ac:dyDescent="0.25">
      <c r="A56">
        <v>53</v>
      </c>
      <c r="B56" s="4">
        <f>-PPMT('With Loan'!$D$41/12,'30% Down Amortization'!$A56,360,'With Loan'!$D$40,0,0)</f>
        <v>627.44074577696369</v>
      </c>
      <c r="C56" s="4">
        <f>-IPMT('With Loan'!$D$41/12,'30% Down Amortization'!$A56,360,'With Loan'!$D$40,0,0)</f>
        <v>1012.8822614801027</v>
      </c>
      <c r="D56" s="4">
        <f t="shared" si="0"/>
        <v>1640.3230072570664</v>
      </c>
      <c r="E56" s="3">
        <f t="shared" si="2"/>
        <v>323494.88292785612</v>
      </c>
    </row>
    <row r="57" spans="1:5" x14ac:dyDescent="0.25">
      <c r="A57">
        <v>54</v>
      </c>
      <c r="B57" s="4">
        <f>-PPMT('With Loan'!$D$41/12,'30% Down Amortization'!$A57,360,'With Loan'!$D$40,0,0)</f>
        <v>629.40149810751677</v>
      </c>
      <c r="C57" s="4">
        <f>-IPMT('With Loan'!$D$41/12,'30% Down Amortization'!$A57,360,'With Loan'!$D$40,0,0)</f>
        <v>1010.9215091495497</v>
      </c>
      <c r="D57" s="4">
        <f t="shared" si="0"/>
        <v>1640.3230072570664</v>
      </c>
      <c r="E57" s="3">
        <f t="shared" si="2"/>
        <v>322865.48142974859</v>
      </c>
    </row>
    <row r="58" spans="1:5" x14ac:dyDescent="0.25">
      <c r="A58">
        <v>55</v>
      </c>
      <c r="B58" s="4">
        <f>-PPMT('With Loan'!$D$41/12,'30% Down Amortization'!$A58,360,'With Loan'!$D$40,0,0)</f>
        <v>631.36837778910262</v>
      </c>
      <c r="C58" s="4">
        <f>-IPMT('With Loan'!$D$41/12,'30% Down Amortization'!$A58,360,'With Loan'!$D$40,0,0)</f>
        <v>1008.9546294679637</v>
      </c>
      <c r="D58" s="4">
        <f t="shared" si="0"/>
        <v>1640.3230072570664</v>
      </c>
      <c r="E58" s="3">
        <f t="shared" si="2"/>
        <v>322234.11305195949</v>
      </c>
    </row>
    <row r="59" spans="1:5" x14ac:dyDescent="0.25">
      <c r="A59">
        <v>56</v>
      </c>
      <c r="B59" s="4">
        <f>-PPMT('With Loan'!$D$41/12,'30% Down Amortization'!$A59,360,'With Loan'!$D$40,0,0)</f>
        <v>633.34140396969372</v>
      </c>
      <c r="C59" s="4">
        <f>-IPMT('With Loan'!$D$41/12,'30% Down Amortization'!$A59,360,'With Loan'!$D$40,0,0)</f>
        <v>1006.981603287373</v>
      </c>
      <c r="D59" s="4">
        <f t="shared" si="0"/>
        <v>1640.3230072570668</v>
      </c>
      <c r="E59" s="3">
        <f t="shared" si="2"/>
        <v>321600.77164798981</v>
      </c>
    </row>
    <row r="60" spans="1:5" x14ac:dyDescent="0.25">
      <c r="A60">
        <v>57</v>
      </c>
      <c r="B60" s="4">
        <f>-PPMT('With Loan'!$D$41/12,'30% Down Amortization'!$A60,360,'With Loan'!$D$40,0,0)</f>
        <v>635.32059585709897</v>
      </c>
      <c r="C60" s="4">
        <f>-IPMT('With Loan'!$D$41/12,'30% Down Amortization'!$A60,360,'With Loan'!$D$40,0,0)</f>
        <v>1005.0024113999673</v>
      </c>
      <c r="D60" s="4">
        <f t="shared" si="0"/>
        <v>1640.3230072570664</v>
      </c>
      <c r="E60" s="3">
        <f t="shared" si="2"/>
        <v>320965.4510521327</v>
      </c>
    </row>
    <row r="61" spans="1:5" x14ac:dyDescent="0.25">
      <c r="A61">
        <v>58</v>
      </c>
      <c r="B61" s="4">
        <f>-PPMT('With Loan'!$D$41/12,'30% Down Amortization'!$A61,360,'With Loan'!$D$40,0,0)</f>
        <v>637.30597271915246</v>
      </c>
      <c r="C61" s="4">
        <f>-IPMT('With Loan'!$D$41/12,'30% Down Amortization'!$A61,360,'With Loan'!$D$40,0,0)</f>
        <v>1003.017034537914</v>
      </c>
      <c r="D61" s="4">
        <f t="shared" si="0"/>
        <v>1640.3230072570664</v>
      </c>
      <c r="E61" s="3">
        <f t="shared" si="2"/>
        <v>320328.14507941355</v>
      </c>
    </row>
    <row r="62" spans="1:5" x14ac:dyDescent="0.25">
      <c r="A62">
        <v>59</v>
      </c>
      <c r="B62" s="4">
        <f>-PPMT('With Loan'!$D$41/12,'30% Down Amortization'!$A62,360,'With Loan'!$D$40,0,0)</f>
        <v>639.2975538838997</v>
      </c>
      <c r="C62" s="4">
        <f>-IPMT('With Loan'!$D$41/12,'30% Down Amortization'!$A62,360,'With Loan'!$D$40,0,0)</f>
        <v>1001.0254533731667</v>
      </c>
      <c r="D62" s="4">
        <f t="shared" si="0"/>
        <v>1640.3230072570664</v>
      </c>
      <c r="E62" s="3">
        <f t="shared" si="2"/>
        <v>319688.84752552962</v>
      </c>
    </row>
    <row r="63" spans="1:5" x14ac:dyDescent="0.25">
      <c r="A63">
        <v>60</v>
      </c>
      <c r="B63" s="4">
        <f>-PPMT('With Loan'!$D$41/12,'30% Down Amortization'!$A63,360,'With Loan'!$D$40,0,0)</f>
        <v>641.29535873978693</v>
      </c>
      <c r="C63" s="4">
        <f>-IPMT('With Loan'!$D$41/12,'30% Down Amortization'!$A63,360,'With Loan'!$D$40,0,0)</f>
        <v>999.02764851727966</v>
      </c>
      <c r="D63" s="4">
        <f t="shared" si="0"/>
        <v>1640.3230072570666</v>
      </c>
      <c r="E63" s="3">
        <f t="shared" si="2"/>
        <v>319047.55216678983</v>
      </c>
    </row>
    <row r="64" spans="1:5" x14ac:dyDescent="0.25">
      <c r="A64">
        <v>61</v>
      </c>
      <c r="B64" s="4">
        <f>-PPMT('With Loan'!$D$41/12,'30% Down Amortization'!$A64,360,'With Loan'!$D$40,0,0)</f>
        <v>643.29940673584872</v>
      </c>
      <c r="C64" s="4">
        <f>-IPMT('With Loan'!$D$41/12,'30% Down Amortization'!$A64,360,'With Loan'!$D$40,0,0)</f>
        <v>997.02360052121799</v>
      </c>
      <c r="D64" s="4">
        <f t="shared" si="0"/>
        <v>1640.3230072570668</v>
      </c>
      <c r="E64" s="3">
        <f t="shared" si="2"/>
        <v>318404.25276005396</v>
      </c>
    </row>
    <row r="65" spans="1:5" x14ac:dyDescent="0.25">
      <c r="A65">
        <v>62</v>
      </c>
      <c r="B65" s="4">
        <f>-PPMT('With Loan'!$D$41/12,'30% Down Amortization'!$A65,360,'With Loan'!$D$40,0,0)</f>
        <v>645.30971738189828</v>
      </c>
      <c r="C65" s="4">
        <f>-IPMT('With Loan'!$D$41/12,'30% Down Amortization'!$A65,360,'With Loan'!$D$40,0,0)</f>
        <v>995.0132898751682</v>
      </c>
      <c r="D65" s="4">
        <f t="shared" si="0"/>
        <v>1640.3230072570664</v>
      </c>
      <c r="E65" s="3">
        <f t="shared" si="2"/>
        <v>317758.94304267206</v>
      </c>
    </row>
    <row r="66" spans="1:5" x14ac:dyDescent="0.25">
      <c r="A66">
        <v>63</v>
      </c>
      <c r="B66" s="4">
        <f>-PPMT('With Loan'!$D$41/12,'30% Down Amortization'!$A66,360,'With Loan'!$D$40,0,0)</f>
        <v>647.32631024871671</v>
      </c>
      <c r="C66" s="4">
        <f>-IPMT('With Loan'!$D$41/12,'30% Down Amortization'!$A66,360,'With Loan'!$D$40,0,0)</f>
        <v>992.99669700834954</v>
      </c>
      <c r="D66" s="4">
        <f t="shared" si="0"/>
        <v>1640.3230072570664</v>
      </c>
      <c r="E66" s="3">
        <f t="shared" si="2"/>
        <v>317111.61673242337</v>
      </c>
    </row>
    <row r="67" spans="1:5" x14ac:dyDescent="0.25">
      <c r="A67">
        <v>64</v>
      </c>
      <c r="B67" s="4">
        <f>-PPMT('With Loan'!$D$41/12,'30% Down Amortization'!$A67,360,'With Loan'!$D$40,0,0)</f>
        <v>649.34920496824407</v>
      </c>
      <c r="C67" s="4">
        <f>-IPMT('With Loan'!$D$41/12,'30% Down Amortization'!$A67,360,'With Loan'!$D$40,0,0)</f>
        <v>990.97380228882241</v>
      </c>
      <c r="D67" s="4">
        <f t="shared" si="0"/>
        <v>1640.3230072570664</v>
      </c>
      <c r="E67" s="3">
        <f t="shared" si="2"/>
        <v>316462.26752745511</v>
      </c>
    </row>
    <row r="68" spans="1:5" x14ac:dyDescent="0.25">
      <c r="A68">
        <v>65</v>
      </c>
      <c r="B68" s="4">
        <f>-PPMT('With Loan'!$D$41/12,'30% Down Amortization'!$A68,360,'With Loan'!$D$40,0,0)</f>
        <v>651.3784212337697</v>
      </c>
      <c r="C68" s="4">
        <f>-IPMT('With Loan'!$D$41/12,'30% Down Amortization'!$A68,360,'With Loan'!$D$40,0,0)</f>
        <v>988.94458602329678</v>
      </c>
      <c r="D68" s="4">
        <f t="shared" si="0"/>
        <v>1640.3230072570664</v>
      </c>
      <c r="E68" s="3">
        <f t="shared" si="2"/>
        <v>315810.88910622132</v>
      </c>
    </row>
    <row r="69" spans="1:5" x14ac:dyDescent="0.25">
      <c r="A69">
        <v>66</v>
      </c>
      <c r="B69" s="4">
        <f>-PPMT('With Loan'!$D$41/12,'30% Down Amortization'!$A69,360,'With Loan'!$D$40,0,0)</f>
        <v>653.41397880012528</v>
      </c>
      <c r="C69" s="4">
        <f>-IPMT('With Loan'!$D$41/12,'30% Down Amortization'!$A69,360,'With Loan'!$D$40,0,0)</f>
        <v>986.9090284569412</v>
      </c>
      <c r="D69" s="4">
        <f t="shared" ref="D69:D132" si="3">B69+C69</f>
        <v>1640.3230072570664</v>
      </c>
      <c r="E69" s="3">
        <f t="shared" si="2"/>
        <v>315157.4751274212</v>
      </c>
    </row>
    <row r="70" spans="1:5" x14ac:dyDescent="0.25">
      <c r="A70">
        <v>67</v>
      </c>
      <c r="B70" s="4">
        <f>-PPMT('With Loan'!$D$41/12,'30% Down Amortization'!$A70,360,'With Loan'!$D$40,0,0)</f>
        <v>655.45589748387556</v>
      </c>
      <c r="C70" s="4">
        <f>-IPMT('With Loan'!$D$41/12,'30% Down Amortization'!$A70,360,'With Loan'!$D$40,0,0)</f>
        <v>984.86710977319103</v>
      </c>
      <c r="D70" s="4">
        <f t="shared" si="3"/>
        <v>1640.3230072570666</v>
      </c>
      <c r="E70" s="3">
        <f t="shared" si="2"/>
        <v>314502.01922993734</v>
      </c>
    </row>
    <row r="71" spans="1:5" x14ac:dyDescent="0.25">
      <c r="A71">
        <v>68</v>
      </c>
      <c r="B71" s="4">
        <f>-PPMT('With Loan'!$D$41/12,'30% Down Amortization'!$A71,360,'With Loan'!$D$40,0,0)</f>
        <v>657.5041971635128</v>
      </c>
      <c r="C71" s="4">
        <f>-IPMT('With Loan'!$D$41/12,'30% Down Amortization'!$A71,360,'With Loan'!$D$40,0,0)</f>
        <v>982.81881009355379</v>
      </c>
      <c r="D71" s="4">
        <f t="shared" si="3"/>
        <v>1640.3230072570666</v>
      </c>
      <c r="E71" s="3">
        <f t="shared" si="2"/>
        <v>313844.51503277384</v>
      </c>
    </row>
    <row r="72" spans="1:5" x14ac:dyDescent="0.25">
      <c r="A72">
        <v>69</v>
      </c>
      <c r="B72" s="4">
        <f>-PPMT('With Loan'!$D$41/12,'30% Down Amortization'!$A72,360,'With Loan'!$D$40,0,0)</f>
        <v>659.55889777964876</v>
      </c>
      <c r="C72" s="4">
        <f>-IPMT('With Loan'!$D$41/12,'30% Down Amortization'!$A72,360,'With Loan'!$D$40,0,0)</f>
        <v>980.76410947741783</v>
      </c>
      <c r="D72" s="4">
        <f t="shared" si="3"/>
        <v>1640.3230072570666</v>
      </c>
      <c r="E72" s="3">
        <f t="shared" si="2"/>
        <v>313184.95613499417</v>
      </c>
    </row>
    <row r="73" spans="1:5" x14ac:dyDescent="0.25">
      <c r="A73">
        <v>70</v>
      </c>
      <c r="B73" s="4">
        <f>-PPMT('With Loan'!$D$41/12,'30% Down Amortization'!$A73,360,'With Loan'!$D$40,0,0)</f>
        <v>661.62001933521015</v>
      </c>
      <c r="C73" s="4">
        <f>-IPMT('With Loan'!$D$41/12,'30% Down Amortization'!$A73,360,'With Loan'!$D$40,0,0)</f>
        <v>978.70298792185633</v>
      </c>
      <c r="D73" s="4">
        <f t="shared" si="3"/>
        <v>1640.3230072570664</v>
      </c>
      <c r="E73" s="3">
        <f t="shared" si="2"/>
        <v>312523.33611565898</v>
      </c>
    </row>
    <row r="74" spans="1:5" x14ac:dyDescent="0.25">
      <c r="A74">
        <v>71</v>
      </c>
      <c r="B74" s="4">
        <f>-PPMT('With Loan'!$D$41/12,'30% Down Amortization'!$A74,360,'With Loan'!$D$40,0,0)</f>
        <v>663.68758189563277</v>
      </c>
      <c r="C74" s="4">
        <f>-IPMT('With Loan'!$D$41/12,'30% Down Amortization'!$A74,360,'With Loan'!$D$40,0,0)</f>
        <v>976.63542536143382</v>
      </c>
      <c r="D74" s="4">
        <f t="shared" si="3"/>
        <v>1640.3230072570666</v>
      </c>
      <c r="E74" s="3">
        <f t="shared" si="2"/>
        <v>311859.64853376336</v>
      </c>
    </row>
    <row r="75" spans="1:5" x14ac:dyDescent="0.25">
      <c r="A75">
        <v>72</v>
      </c>
      <c r="B75" s="4">
        <f>-PPMT('With Loan'!$D$41/12,'30% Down Amortization'!$A75,360,'With Loan'!$D$40,0,0)</f>
        <v>665.76160558905656</v>
      </c>
      <c r="C75" s="4">
        <f>-IPMT('With Loan'!$D$41/12,'30% Down Amortization'!$A75,360,'With Loan'!$D$40,0,0)</f>
        <v>974.56140166800992</v>
      </c>
      <c r="D75" s="4">
        <f t="shared" si="3"/>
        <v>1640.3230072570664</v>
      </c>
      <c r="E75" s="3">
        <f t="shared" si="2"/>
        <v>311193.8869281743</v>
      </c>
    </row>
    <row r="76" spans="1:5" x14ac:dyDescent="0.25">
      <c r="A76">
        <v>73</v>
      </c>
      <c r="B76" s="4">
        <f>-PPMT('With Loan'!$D$41/12,'30% Down Amortization'!$A76,360,'With Loan'!$D$40,0,0)</f>
        <v>667.8421106065224</v>
      </c>
      <c r="C76" s="4">
        <f>-IPMT('With Loan'!$D$41/12,'30% Down Amortization'!$A76,360,'With Loan'!$D$40,0,0)</f>
        <v>972.4808966505442</v>
      </c>
      <c r="D76" s="4">
        <f t="shared" si="3"/>
        <v>1640.3230072570666</v>
      </c>
      <c r="E76" s="3">
        <f t="shared" si="2"/>
        <v>310526.04481756774</v>
      </c>
    </row>
    <row r="77" spans="1:5" x14ac:dyDescent="0.25">
      <c r="A77">
        <v>74</v>
      </c>
      <c r="B77" s="4">
        <f>-PPMT('With Loan'!$D$41/12,'30% Down Amortization'!$A77,360,'With Loan'!$D$40,0,0)</f>
        <v>669.92911720216773</v>
      </c>
      <c r="C77" s="4">
        <f>-IPMT('With Loan'!$D$41/12,'30% Down Amortization'!$A77,360,'With Loan'!$D$40,0,0)</f>
        <v>970.39389005489875</v>
      </c>
      <c r="D77" s="4">
        <f t="shared" si="3"/>
        <v>1640.3230072570664</v>
      </c>
      <c r="E77" s="3">
        <f t="shared" si="2"/>
        <v>309856.11570036557</v>
      </c>
    </row>
    <row r="78" spans="1:5" x14ac:dyDescent="0.25">
      <c r="A78">
        <v>75</v>
      </c>
      <c r="B78" s="4">
        <f>-PPMT('With Loan'!$D$41/12,'30% Down Amortization'!$A78,360,'With Loan'!$D$40,0,0)</f>
        <v>672.02264569342447</v>
      </c>
      <c r="C78" s="4">
        <f>-IPMT('With Loan'!$D$41/12,'30% Down Amortization'!$A78,360,'With Loan'!$D$40,0,0)</f>
        <v>968.30036156364213</v>
      </c>
      <c r="D78" s="4">
        <f t="shared" si="3"/>
        <v>1640.3230072570666</v>
      </c>
      <c r="E78" s="3">
        <f t="shared" si="2"/>
        <v>309184.09305467212</v>
      </c>
    </row>
    <row r="79" spans="1:5" x14ac:dyDescent="0.25">
      <c r="A79">
        <v>76</v>
      </c>
      <c r="B79" s="4">
        <f>-PPMT('With Loan'!$D$41/12,'30% Down Amortization'!$A79,360,'With Loan'!$D$40,0,0)</f>
        <v>674.12271646121644</v>
      </c>
      <c r="C79" s="4">
        <f>-IPMT('With Loan'!$D$41/12,'30% Down Amortization'!$A79,360,'With Loan'!$D$40,0,0)</f>
        <v>966.20029079585015</v>
      </c>
      <c r="D79" s="4">
        <f t="shared" si="3"/>
        <v>1640.3230072570666</v>
      </c>
      <c r="E79" s="3">
        <f t="shared" si="2"/>
        <v>308509.97033821093</v>
      </c>
    </row>
    <row r="80" spans="1:5" x14ac:dyDescent="0.25">
      <c r="A80">
        <v>77</v>
      </c>
      <c r="B80" s="4">
        <f>-PPMT('With Loan'!$D$41/12,'30% Down Amortization'!$A80,360,'With Loan'!$D$40,0,0)</f>
        <v>676.22934995015771</v>
      </c>
      <c r="C80" s="4">
        <f>-IPMT('With Loan'!$D$41/12,'30% Down Amortization'!$A80,360,'With Loan'!$D$40,0,0)</f>
        <v>964.09365730690865</v>
      </c>
      <c r="D80" s="4">
        <f t="shared" si="3"/>
        <v>1640.3230072570664</v>
      </c>
      <c r="E80" s="3">
        <f t="shared" si="2"/>
        <v>307833.74098826078</v>
      </c>
    </row>
    <row r="81" spans="1:5" x14ac:dyDescent="0.25">
      <c r="A81">
        <v>78</v>
      </c>
      <c r="B81" s="4">
        <f>-PPMT('With Loan'!$D$41/12,'30% Down Amortization'!$A81,360,'With Loan'!$D$40,0,0)</f>
        <v>678.34256666875194</v>
      </c>
      <c r="C81" s="4">
        <f>-IPMT('With Loan'!$D$41/12,'30% Down Amortization'!$A81,360,'With Loan'!$D$40,0,0)</f>
        <v>961.98044058831442</v>
      </c>
      <c r="D81" s="4">
        <f t="shared" si="3"/>
        <v>1640.3230072570664</v>
      </c>
      <c r="E81" s="3">
        <f t="shared" si="2"/>
        <v>307155.39842159202</v>
      </c>
    </row>
    <row r="82" spans="1:5" x14ac:dyDescent="0.25">
      <c r="A82">
        <v>79</v>
      </c>
      <c r="B82" s="4">
        <f>-PPMT('With Loan'!$D$41/12,'30% Down Amortization'!$A82,360,'With Loan'!$D$40,0,0)</f>
        <v>680.46238718959182</v>
      </c>
      <c r="C82" s="4">
        <f>-IPMT('With Loan'!$D$41/12,'30% Down Amortization'!$A82,360,'With Loan'!$D$40,0,0)</f>
        <v>959.86062006747466</v>
      </c>
      <c r="D82" s="4">
        <f t="shared" si="3"/>
        <v>1640.3230072570664</v>
      </c>
      <c r="E82" s="3">
        <f t="shared" si="2"/>
        <v>306474.9360344024</v>
      </c>
    </row>
    <row r="83" spans="1:5" x14ac:dyDescent="0.25">
      <c r="A83">
        <v>80</v>
      </c>
      <c r="B83" s="4">
        <f>-PPMT('With Loan'!$D$41/12,'30% Down Amortization'!$A83,360,'With Loan'!$D$40,0,0)</f>
        <v>682.58883214955938</v>
      </c>
      <c r="C83" s="4">
        <f>-IPMT('With Loan'!$D$41/12,'30% Down Amortization'!$A83,360,'With Loan'!$D$40,0,0)</f>
        <v>957.73417510750721</v>
      </c>
      <c r="D83" s="4">
        <f t="shared" si="3"/>
        <v>1640.3230072570666</v>
      </c>
      <c r="E83" s="3">
        <f t="shared" si="2"/>
        <v>305792.34720225283</v>
      </c>
    </row>
    <row r="84" spans="1:5" x14ac:dyDescent="0.25">
      <c r="A84">
        <v>81</v>
      </c>
      <c r="B84" s="4">
        <f>-PPMT('With Loan'!$D$41/12,'30% Down Amortization'!$A84,360,'With Loan'!$D$40,0,0)</f>
        <v>684.72192225002664</v>
      </c>
      <c r="C84" s="4">
        <f>-IPMT('With Loan'!$D$41/12,'30% Down Amortization'!$A84,360,'With Loan'!$D$40,0,0)</f>
        <v>955.60108500703984</v>
      </c>
      <c r="D84" s="4">
        <f t="shared" si="3"/>
        <v>1640.3230072570664</v>
      </c>
      <c r="E84" s="3">
        <f t="shared" si="2"/>
        <v>305107.62528000283</v>
      </c>
    </row>
    <row r="85" spans="1:5" x14ac:dyDescent="0.25">
      <c r="A85">
        <v>82</v>
      </c>
      <c r="B85" s="4">
        <f>-PPMT('With Loan'!$D$41/12,'30% Down Amortization'!$A85,360,'With Loan'!$D$40,0,0)</f>
        <v>686.86167825705797</v>
      </c>
      <c r="C85" s="4">
        <f>-IPMT('With Loan'!$D$41/12,'30% Down Amortization'!$A85,360,'With Loan'!$D$40,0,0)</f>
        <v>953.46132900000839</v>
      </c>
      <c r="D85" s="4">
        <f t="shared" si="3"/>
        <v>1640.3230072570664</v>
      </c>
      <c r="E85" s="3">
        <f t="shared" si="2"/>
        <v>304420.76360174577</v>
      </c>
    </row>
    <row r="86" spans="1:5" x14ac:dyDescent="0.25">
      <c r="A86">
        <v>83</v>
      </c>
      <c r="B86" s="4">
        <f>-PPMT('With Loan'!$D$41/12,'30% Down Amortization'!$A86,360,'With Loan'!$D$40,0,0)</f>
        <v>689.00812100161136</v>
      </c>
      <c r="C86" s="4">
        <f>-IPMT('With Loan'!$D$41/12,'30% Down Amortization'!$A86,360,'With Loan'!$D$40,0,0)</f>
        <v>951.31488625545524</v>
      </c>
      <c r="D86" s="4">
        <f t="shared" si="3"/>
        <v>1640.3230072570666</v>
      </c>
      <c r="E86" s="3">
        <f t="shared" si="2"/>
        <v>303731.75548074418</v>
      </c>
    </row>
    <row r="87" spans="1:5" x14ac:dyDescent="0.25">
      <c r="A87">
        <v>84</v>
      </c>
      <c r="B87" s="4">
        <f>-PPMT('With Loan'!$D$41/12,'30% Down Amortization'!$A87,360,'With Loan'!$D$40,0,0)</f>
        <v>691.16127137974127</v>
      </c>
      <c r="C87" s="4">
        <f>-IPMT('With Loan'!$D$41/12,'30% Down Amortization'!$A87,360,'With Loan'!$D$40,0,0)</f>
        <v>949.16173587732533</v>
      </c>
      <c r="D87" s="4">
        <f t="shared" si="3"/>
        <v>1640.3230072570666</v>
      </c>
      <c r="E87" s="3">
        <f t="shared" si="2"/>
        <v>303040.59420936444</v>
      </c>
    </row>
    <row r="88" spans="1:5" x14ac:dyDescent="0.25">
      <c r="A88">
        <v>85</v>
      </c>
      <c r="B88" s="4">
        <f>-PPMT('With Loan'!$D$41/12,'30% Down Amortization'!$A88,360,'With Loan'!$D$40,0,0)</f>
        <v>693.3211503528031</v>
      </c>
      <c r="C88" s="4">
        <f>-IPMT('With Loan'!$D$41/12,'30% Down Amortization'!$A88,360,'With Loan'!$D$40,0,0)</f>
        <v>947.0018569042636</v>
      </c>
      <c r="D88" s="4">
        <f t="shared" si="3"/>
        <v>1640.3230072570668</v>
      </c>
      <c r="E88" s="3">
        <f t="shared" si="2"/>
        <v>302347.27305901161</v>
      </c>
    </row>
    <row r="89" spans="1:5" x14ac:dyDescent="0.25">
      <c r="A89">
        <v>86</v>
      </c>
      <c r="B89" s="4">
        <f>-PPMT('With Loan'!$D$41/12,'30% Down Amortization'!$A89,360,'With Loan'!$D$40,0,0)</f>
        <v>695.48777894765556</v>
      </c>
      <c r="C89" s="4">
        <f>-IPMT('With Loan'!$D$41/12,'30% Down Amortization'!$A89,360,'With Loan'!$D$40,0,0)</f>
        <v>944.83522830941081</v>
      </c>
      <c r="D89" s="4">
        <f t="shared" si="3"/>
        <v>1640.3230072570664</v>
      </c>
      <c r="E89" s="3">
        <f t="shared" si="2"/>
        <v>301651.78528006398</v>
      </c>
    </row>
    <row r="90" spans="1:5" x14ac:dyDescent="0.25">
      <c r="A90">
        <v>87</v>
      </c>
      <c r="B90" s="4">
        <f>-PPMT('With Loan'!$D$41/12,'30% Down Amortization'!$A90,360,'With Loan'!$D$40,0,0)</f>
        <v>697.66117825686695</v>
      </c>
      <c r="C90" s="4">
        <f>-IPMT('With Loan'!$D$41/12,'30% Down Amortization'!$A90,360,'With Loan'!$D$40,0,0)</f>
        <v>942.66182900019953</v>
      </c>
      <c r="D90" s="4">
        <f t="shared" si="3"/>
        <v>1640.3230072570664</v>
      </c>
      <c r="E90" s="3">
        <f t="shared" si="2"/>
        <v>300954.12410180713</v>
      </c>
    </row>
    <row r="91" spans="1:5" x14ac:dyDescent="0.25">
      <c r="A91">
        <v>88</v>
      </c>
      <c r="B91" s="4">
        <f>-PPMT('With Loan'!$D$41/12,'30% Down Amortization'!$A91,360,'With Loan'!$D$40,0,0)</f>
        <v>699.84136943891974</v>
      </c>
      <c r="C91" s="4">
        <f>-IPMT('With Loan'!$D$41/12,'30% Down Amortization'!$A91,360,'With Loan'!$D$40,0,0)</f>
        <v>940.48163781814685</v>
      </c>
      <c r="D91" s="4">
        <f t="shared" si="3"/>
        <v>1640.3230072570666</v>
      </c>
      <c r="E91" s="3">
        <f t="shared" si="2"/>
        <v>300254.28273236821</v>
      </c>
    </row>
    <row r="92" spans="1:5" x14ac:dyDescent="0.25">
      <c r="A92">
        <v>89</v>
      </c>
      <c r="B92" s="4">
        <f>-PPMT('With Loan'!$D$41/12,'30% Down Amortization'!$A92,360,'With Loan'!$D$40,0,0)</f>
        <v>702.02837371841633</v>
      </c>
      <c r="C92" s="4">
        <f>-IPMT('With Loan'!$D$41/12,'30% Down Amortization'!$A92,360,'With Loan'!$D$40,0,0)</f>
        <v>938.29463353865037</v>
      </c>
      <c r="D92" s="4">
        <f t="shared" si="3"/>
        <v>1640.3230072570668</v>
      </c>
      <c r="E92" s="3">
        <f t="shared" si="2"/>
        <v>299552.25435864978</v>
      </c>
    </row>
    <row r="93" spans="1:5" x14ac:dyDescent="0.25">
      <c r="A93">
        <v>90</v>
      </c>
      <c r="B93" s="4">
        <f>-PPMT('With Loan'!$D$41/12,'30% Down Amortization'!$A93,360,'With Loan'!$D$40,0,0)</f>
        <v>704.2222123862864</v>
      </c>
      <c r="C93" s="4">
        <f>-IPMT('With Loan'!$D$41/12,'30% Down Amortization'!$A93,360,'With Loan'!$D$40,0,0)</f>
        <v>936.10079487078008</v>
      </c>
      <c r="D93" s="4">
        <f t="shared" si="3"/>
        <v>1640.3230072570664</v>
      </c>
      <c r="E93" s="3">
        <f t="shared" si="2"/>
        <v>298848.03214626352</v>
      </c>
    </row>
    <row r="94" spans="1:5" x14ac:dyDescent="0.25">
      <c r="A94">
        <v>91</v>
      </c>
      <c r="B94" s="4">
        <f>-PPMT('With Loan'!$D$41/12,'30% Down Amortization'!$A94,360,'With Loan'!$D$40,0,0)</f>
        <v>706.42290679999348</v>
      </c>
      <c r="C94" s="4">
        <f>-IPMT('With Loan'!$D$41/12,'30% Down Amortization'!$A94,360,'With Loan'!$D$40,0,0)</f>
        <v>933.90010045707311</v>
      </c>
      <c r="D94" s="4">
        <f t="shared" si="3"/>
        <v>1640.3230072570666</v>
      </c>
      <c r="E94" s="3">
        <f t="shared" si="2"/>
        <v>298141.60923946352</v>
      </c>
    </row>
    <row r="95" spans="1:5" x14ac:dyDescent="0.25">
      <c r="A95">
        <v>92</v>
      </c>
      <c r="B95" s="4">
        <f>-PPMT('With Loan'!$D$41/12,'30% Down Amortization'!$A95,360,'With Loan'!$D$40,0,0)</f>
        <v>708.63047838374348</v>
      </c>
      <c r="C95" s="4">
        <f>-IPMT('With Loan'!$D$41/12,'30% Down Amortization'!$A95,360,'With Loan'!$D$40,0,0)</f>
        <v>931.69252887332311</v>
      </c>
      <c r="D95" s="4">
        <f t="shared" si="3"/>
        <v>1640.3230072570666</v>
      </c>
      <c r="E95" s="3">
        <f t="shared" si="2"/>
        <v>297432.97876107978</v>
      </c>
    </row>
    <row r="96" spans="1:5" x14ac:dyDescent="0.25">
      <c r="A96">
        <v>93</v>
      </c>
      <c r="B96" s="4">
        <f>-PPMT('With Loan'!$D$41/12,'30% Down Amortization'!$A96,360,'With Loan'!$D$40,0,0)</f>
        <v>710.84494862869258</v>
      </c>
      <c r="C96" s="4">
        <f>-IPMT('With Loan'!$D$41/12,'30% Down Amortization'!$A96,360,'With Loan'!$D$40,0,0)</f>
        <v>929.47805862837367</v>
      </c>
      <c r="D96" s="4">
        <f t="shared" si="3"/>
        <v>1640.3230072570664</v>
      </c>
      <c r="E96" s="3">
        <f t="shared" si="2"/>
        <v>296722.13381245109</v>
      </c>
    </row>
    <row r="97" spans="1:5" x14ac:dyDescent="0.25">
      <c r="A97">
        <v>94</v>
      </c>
      <c r="B97" s="4">
        <f>-PPMT('With Loan'!$D$41/12,'30% Down Amortization'!$A97,360,'With Loan'!$D$40,0,0)</f>
        <v>713.06633909315735</v>
      </c>
      <c r="C97" s="4">
        <f>-IPMT('With Loan'!$D$41/12,'30% Down Amortization'!$A97,360,'With Loan'!$D$40,0,0)</f>
        <v>927.25666816390924</v>
      </c>
      <c r="D97" s="4">
        <f t="shared" si="3"/>
        <v>1640.3230072570666</v>
      </c>
      <c r="E97" s="3">
        <f t="shared" si="2"/>
        <v>296009.06747335795</v>
      </c>
    </row>
    <row r="98" spans="1:5" x14ac:dyDescent="0.25">
      <c r="A98">
        <v>95</v>
      </c>
      <c r="B98" s="4">
        <f>-PPMT('With Loan'!$D$41/12,'30% Down Amortization'!$A98,360,'With Loan'!$D$40,0,0)</f>
        <v>715.29467140282338</v>
      </c>
      <c r="C98" s="4">
        <f>-IPMT('With Loan'!$D$41/12,'30% Down Amortization'!$A98,360,'With Loan'!$D$40,0,0)</f>
        <v>925.02833585424321</v>
      </c>
      <c r="D98" s="4">
        <f t="shared" si="3"/>
        <v>1640.3230072570666</v>
      </c>
      <c r="E98" s="3">
        <f t="shared" ref="E98:E161" si="4">E97-B98</f>
        <v>295293.77280195511</v>
      </c>
    </row>
    <row r="99" spans="1:5" x14ac:dyDescent="0.25">
      <c r="A99">
        <v>96</v>
      </c>
      <c r="B99" s="4">
        <f>-PPMT('With Loan'!$D$41/12,'30% Down Amortization'!$A99,360,'With Loan'!$D$40,0,0)</f>
        <v>717.52996725095727</v>
      </c>
      <c r="C99" s="4">
        <f>-IPMT('With Loan'!$D$41/12,'30% Down Amortization'!$A99,360,'With Loan'!$D$40,0,0)</f>
        <v>922.79304000610909</v>
      </c>
      <c r="D99" s="4">
        <f t="shared" si="3"/>
        <v>1640.3230072570664</v>
      </c>
      <c r="E99" s="3">
        <f t="shared" si="4"/>
        <v>294576.24283470417</v>
      </c>
    </row>
    <row r="100" spans="1:5" x14ac:dyDescent="0.25">
      <c r="A100">
        <v>97</v>
      </c>
      <c r="B100" s="4">
        <f>-PPMT('With Loan'!$D$41/12,'30% Down Amortization'!$A100,360,'With Loan'!$D$40,0,0)</f>
        <v>719.77224839861663</v>
      </c>
      <c r="C100" s="4">
        <f>-IPMT('With Loan'!$D$41/12,'30% Down Amortization'!$A100,360,'With Loan'!$D$40,0,0)</f>
        <v>920.55075885844997</v>
      </c>
      <c r="D100" s="4">
        <f t="shared" si="3"/>
        <v>1640.3230072570666</v>
      </c>
      <c r="E100" s="3">
        <f t="shared" si="4"/>
        <v>293856.47058630554</v>
      </c>
    </row>
    <row r="101" spans="1:5" x14ac:dyDescent="0.25">
      <c r="A101">
        <v>98</v>
      </c>
      <c r="B101" s="4">
        <f>-PPMT('With Loan'!$D$41/12,'30% Down Amortization'!$A101,360,'With Loan'!$D$40,0,0)</f>
        <v>722.02153667486209</v>
      </c>
      <c r="C101" s="4">
        <f>-IPMT('With Loan'!$D$41/12,'30% Down Amortization'!$A101,360,'With Loan'!$D$40,0,0)</f>
        <v>918.30147058220416</v>
      </c>
      <c r="D101" s="4">
        <f t="shared" si="3"/>
        <v>1640.3230072570664</v>
      </c>
      <c r="E101" s="3">
        <f t="shared" si="4"/>
        <v>293134.44904963067</v>
      </c>
    </row>
    <row r="102" spans="1:5" x14ac:dyDescent="0.25">
      <c r="A102">
        <v>99</v>
      </c>
      <c r="B102" s="4">
        <f>-PPMT('With Loan'!$D$41/12,'30% Down Amortization'!$A102,360,'With Loan'!$D$40,0,0)</f>
        <v>724.27785397697119</v>
      </c>
      <c r="C102" s="4">
        <f>-IPMT('With Loan'!$D$41/12,'30% Down Amortization'!$A102,360,'With Loan'!$D$40,0,0)</f>
        <v>916.04515328009541</v>
      </c>
      <c r="D102" s="4">
        <f t="shared" si="3"/>
        <v>1640.3230072570666</v>
      </c>
      <c r="E102" s="3">
        <f t="shared" si="4"/>
        <v>292410.17119565367</v>
      </c>
    </row>
    <row r="103" spans="1:5" x14ac:dyDescent="0.25">
      <c r="A103">
        <v>100</v>
      </c>
      <c r="B103" s="4">
        <f>-PPMT('With Loan'!$D$41/12,'30% Down Amortization'!$A103,360,'With Loan'!$D$40,0,0)</f>
        <v>726.54122227064909</v>
      </c>
      <c r="C103" s="4">
        <f>-IPMT('With Loan'!$D$41/12,'30% Down Amortization'!$A103,360,'With Loan'!$D$40,0,0)</f>
        <v>913.78178498641716</v>
      </c>
      <c r="D103" s="4">
        <f t="shared" si="3"/>
        <v>1640.3230072570664</v>
      </c>
      <c r="E103" s="3">
        <f t="shared" si="4"/>
        <v>291683.62997338304</v>
      </c>
    </row>
    <row r="104" spans="1:5" x14ac:dyDescent="0.25">
      <c r="A104">
        <v>101</v>
      </c>
      <c r="B104" s="4">
        <f>-PPMT('With Loan'!$D$41/12,'30% Down Amortization'!$A104,360,'With Loan'!$D$40,0,0)</f>
        <v>728.81166359024496</v>
      </c>
      <c r="C104" s="4">
        <f>-IPMT('With Loan'!$D$41/12,'30% Down Amortization'!$A104,360,'With Loan'!$D$40,0,0)</f>
        <v>911.51134366682174</v>
      </c>
      <c r="D104" s="4">
        <f t="shared" si="3"/>
        <v>1640.3230072570668</v>
      </c>
      <c r="E104" s="3">
        <f t="shared" si="4"/>
        <v>290954.81830979278</v>
      </c>
    </row>
    <row r="105" spans="1:5" x14ac:dyDescent="0.25">
      <c r="A105">
        <v>102</v>
      </c>
      <c r="B105" s="4">
        <f>-PPMT('With Loan'!$D$41/12,'30% Down Amortization'!$A105,360,'With Loan'!$D$40,0,0)</f>
        <v>731.08920003896435</v>
      </c>
      <c r="C105" s="4">
        <f>-IPMT('With Loan'!$D$41/12,'30% Down Amortization'!$A105,360,'With Loan'!$D$40,0,0)</f>
        <v>909.23380721810202</v>
      </c>
      <c r="D105" s="4">
        <f t="shared" si="3"/>
        <v>1640.3230072570664</v>
      </c>
      <c r="E105" s="3">
        <f t="shared" si="4"/>
        <v>290223.7291097538</v>
      </c>
    </row>
    <row r="106" spans="1:5" x14ac:dyDescent="0.25">
      <c r="A106">
        <v>103</v>
      </c>
      <c r="B106" s="4">
        <f>-PPMT('With Loan'!$D$41/12,'30% Down Amortization'!$A106,360,'With Loan'!$D$40,0,0)</f>
        <v>733.37385378908618</v>
      </c>
      <c r="C106" s="4">
        <f>-IPMT('With Loan'!$D$41/12,'30% Down Amortization'!$A106,360,'With Loan'!$D$40,0,0)</f>
        <v>906.94915346798018</v>
      </c>
      <c r="D106" s="4">
        <f t="shared" si="3"/>
        <v>1640.3230072570664</v>
      </c>
      <c r="E106" s="3">
        <f t="shared" si="4"/>
        <v>289490.35525596474</v>
      </c>
    </row>
    <row r="107" spans="1:5" x14ac:dyDescent="0.25">
      <c r="A107">
        <v>104</v>
      </c>
      <c r="B107" s="4">
        <f>-PPMT('With Loan'!$D$41/12,'30% Down Amortization'!$A107,360,'With Loan'!$D$40,0,0)</f>
        <v>735.66564708217709</v>
      </c>
      <c r="C107" s="4">
        <f>-IPMT('With Loan'!$D$41/12,'30% Down Amortization'!$A107,360,'With Loan'!$D$40,0,0)</f>
        <v>904.65736017488939</v>
      </c>
      <c r="D107" s="4">
        <f t="shared" si="3"/>
        <v>1640.3230072570664</v>
      </c>
      <c r="E107" s="3">
        <f t="shared" si="4"/>
        <v>288754.68960888253</v>
      </c>
    </row>
    <row r="108" spans="1:5" x14ac:dyDescent="0.25">
      <c r="A108">
        <v>105</v>
      </c>
      <c r="B108" s="4">
        <f>-PPMT('With Loan'!$D$41/12,'30% Down Amortization'!$A108,360,'With Loan'!$D$40,0,0)</f>
        <v>737.96460222930898</v>
      </c>
      <c r="C108" s="4">
        <f>-IPMT('With Loan'!$D$41/12,'30% Down Amortization'!$A108,360,'With Loan'!$D$40,0,0)</f>
        <v>902.3584050277575</v>
      </c>
      <c r="D108" s="4">
        <f t="shared" si="3"/>
        <v>1640.3230072570664</v>
      </c>
      <c r="E108" s="3">
        <f t="shared" si="4"/>
        <v>288016.72500665323</v>
      </c>
    </row>
    <row r="109" spans="1:5" x14ac:dyDescent="0.25">
      <c r="A109">
        <v>106</v>
      </c>
      <c r="B109" s="4">
        <f>-PPMT('With Loan'!$D$41/12,'30% Down Amortization'!$A109,360,'With Loan'!$D$40,0,0)</f>
        <v>740.27074161127564</v>
      </c>
      <c r="C109" s="4">
        <f>-IPMT('With Loan'!$D$41/12,'30% Down Amortization'!$A109,360,'With Loan'!$D$40,0,0)</f>
        <v>900.05226564579095</v>
      </c>
      <c r="D109" s="4">
        <f t="shared" si="3"/>
        <v>1640.3230072570666</v>
      </c>
      <c r="E109" s="3">
        <f t="shared" si="4"/>
        <v>287276.45426504198</v>
      </c>
    </row>
    <row r="110" spans="1:5" x14ac:dyDescent="0.25">
      <c r="A110">
        <v>107</v>
      </c>
      <c r="B110" s="4">
        <f>-PPMT('With Loan'!$D$41/12,'30% Down Amortization'!$A110,360,'With Loan'!$D$40,0,0)</f>
        <v>742.58408767881065</v>
      </c>
      <c r="C110" s="4">
        <f>-IPMT('With Loan'!$D$41/12,'30% Down Amortization'!$A110,360,'With Loan'!$D$40,0,0)</f>
        <v>897.73891957825572</v>
      </c>
      <c r="D110" s="4">
        <f t="shared" si="3"/>
        <v>1640.3230072570664</v>
      </c>
      <c r="E110" s="3">
        <f t="shared" si="4"/>
        <v>286533.87017736316</v>
      </c>
    </row>
    <row r="111" spans="1:5" x14ac:dyDescent="0.25">
      <c r="A111">
        <v>108</v>
      </c>
      <c r="B111" s="4">
        <f>-PPMT('With Loan'!$D$41/12,'30% Down Amortization'!$A111,360,'With Loan'!$D$40,0,0)</f>
        <v>744.90466295280703</v>
      </c>
      <c r="C111" s="4">
        <f>-IPMT('With Loan'!$D$41/12,'30% Down Amortization'!$A111,360,'With Loan'!$D$40,0,0)</f>
        <v>895.41834430425945</v>
      </c>
      <c r="D111" s="4">
        <f t="shared" si="3"/>
        <v>1640.3230072570664</v>
      </c>
      <c r="E111" s="3">
        <f t="shared" si="4"/>
        <v>285788.96551441035</v>
      </c>
    </row>
    <row r="112" spans="1:5" x14ac:dyDescent="0.25">
      <c r="A112">
        <v>109</v>
      </c>
      <c r="B112" s="4">
        <f>-PPMT('With Loan'!$D$41/12,'30% Down Amortization'!$A112,360,'With Loan'!$D$40,0,0)</f>
        <v>747.23249002453463</v>
      </c>
      <c r="C112" s="4">
        <f>-IPMT('With Loan'!$D$41/12,'30% Down Amortization'!$A112,360,'With Loan'!$D$40,0,0)</f>
        <v>893.09051723253174</v>
      </c>
      <c r="D112" s="4">
        <f t="shared" si="3"/>
        <v>1640.3230072570664</v>
      </c>
      <c r="E112" s="3">
        <f t="shared" si="4"/>
        <v>285041.73302438582</v>
      </c>
    </row>
    <row r="113" spans="1:5" x14ac:dyDescent="0.25">
      <c r="A113">
        <v>110</v>
      </c>
      <c r="B113" s="4">
        <f>-PPMT('With Loan'!$D$41/12,'30% Down Amortization'!$A113,360,'With Loan'!$D$40,0,0)</f>
        <v>749.56759155586121</v>
      </c>
      <c r="C113" s="4">
        <f>-IPMT('With Loan'!$D$41/12,'30% Down Amortization'!$A113,360,'With Loan'!$D$40,0,0)</f>
        <v>890.75541570120504</v>
      </c>
      <c r="D113" s="4">
        <f t="shared" si="3"/>
        <v>1640.3230072570664</v>
      </c>
      <c r="E113" s="3">
        <f t="shared" si="4"/>
        <v>284292.16543282993</v>
      </c>
    </row>
    <row r="114" spans="1:5" x14ac:dyDescent="0.25">
      <c r="A114">
        <v>111</v>
      </c>
      <c r="B114" s="4">
        <f>-PPMT('With Loan'!$D$41/12,'30% Down Amortization'!$A114,360,'With Loan'!$D$40,0,0)</f>
        <v>751.90999027947328</v>
      </c>
      <c r="C114" s="4">
        <f>-IPMT('With Loan'!$D$41/12,'30% Down Amortization'!$A114,360,'With Loan'!$D$40,0,0)</f>
        <v>888.41301697759309</v>
      </c>
      <c r="D114" s="4">
        <f t="shared" si="3"/>
        <v>1640.3230072570664</v>
      </c>
      <c r="E114" s="3">
        <f t="shared" si="4"/>
        <v>283540.25544255046</v>
      </c>
    </row>
    <row r="115" spans="1:5" x14ac:dyDescent="0.25">
      <c r="A115">
        <v>112</v>
      </c>
      <c r="B115" s="4">
        <f>-PPMT('With Loan'!$D$41/12,'30% Down Amortization'!$A115,360,'With Loan'!$D$40,0,0)</f>
        <v>754.25970899909669</v>
      </c>
      <c r="C115" s="4">
        <f>-IPMT('With Loan'!$D$41/12,'30% Down Amortization'!$A115,360,'With Loan'!$D$40,0,0)</f>
        <v>886.06329825796979</v>
      </c>
      <c r="D115" s="4">
        <f t="shared" si="3"/>
        <v>1640.3230072570664</v>
      </c>
      <c r="E115" s="3">
        <f t="shared" si="4"/>
        <v>282785.99573355139</v>
      </c>
    </row>
    <row r="116" spans="1:5" x14ac:dyDescent="0.25">
      <c r="A116">
        <v>113</v>
      </c>
      <c r="B116" s="4">
        <f>-PPMT('With Loan'!$D$41/12,'30% Down Amortization'!$A116,360,'With Loan'!$D$40,0,0)</f>
        <v>756.61677058971884</v>
      </c>
      <c r="C116" s="4">
        <f>-IPMT('With Loan'!$D$41/12,'30% Down Amortization'!$A116,360,'With Loan'!$D$40,0,0)</f>
        <v>883.70623666734764</v>
      </c>
      <c r="D116" s="4">
        <f t="shared" si="3"/>
        <v>1640.3230072570664</v>
      </c>
      <c r="E116" s="3">
        <f t="shared" si="4"/>
        <v>282029.37896296167</v>
      </c>
    </row>
    <row r="117" spans="1:5" x14ac:dyDescent="0.25">
      <c r="A117">
        <v>114</v>
      </c>
      <c r="B117" s="4">
        <f>-PPMT('With Loan'!$D$41/12,'30% Down Amortization'!$A117,360,'With Loan'!$D$40,0,0)</f>
        <v>758.98119799781171</v>
      </c>
      <c r="C117" s="4">
        <f>-IPMT('With Loan'!$D$41/12,'30% Down Amortization'!$A117,360,'With Loan'!$D$40,0,0)</f>
        <v>881.341809259255</v>
      </c>
      <c r="D117" s="4">
        <f t="shared" si="3"/>
        <v>1640.3230072570668</v>
      </c>
      <c r="E117" s="3">
        <f t="shared" si="4"/>
        <v>281270.39776496385</v>
      </c>
    </row>
    <row r="118" spans="1:5" x14ac:dyDescent="0.25">
      <c r="A118">
        <v>115</v>
      </c>
      <c r="B118" s="4">
        <f>-PPMT('With Loan'!$D$41/12,'30% Down Amortization'!$A118,360,'With Loan'!$D$40,0,0)</f>
        <v>761.35301424155489</v>
      </c>
      <c r="C118" s="4">
        <f>-IPMT('With Loan'!$D$41/12,'30% Down Amortization'!$A118,360,'With Loan'!$D$40,0,0)</f>
        <v>878.96999301551159</v>
      </c>
      <c r="D118" s="4">
        <f t="shared" si="3"/>
        <v>1640.3230072570664</v>
      </c>
      <c r="E118" s="3">
        <f t="shared" si="4"/>
        <v>280509.0447507223</v>
      </c>
    </row>
    <row r="119" spans="1:5" x14ac:dyDescent="0.25">
      <c r="A119">
        <v>116</v>
      </c>
      <c r="B119" s="4">
        <f>-PPMT('With Loan'!$D$41/12,'30% Down Amortization'!$A119,360,'With Loan'!$D$40,0,0)</f>
        <v>763.7322424110597</v>
      </c>
      <c r="C119" s="4">
        <f>-IPMT('With Loan'!$D$41/12,'30% Down Amortization'!$A119,360,'With Loan'!$D$40,0,0)</f>
        <v>876.59076484600678</v>
      </c>
      <c r="D119" s="4">
        <f t="shared" si="3"/>
        <v>1640.3230072570664</v>
      </c>
      <c r="E119" s="3">
        <f t="shared" si="4"/>
        <v>279745.31250831124</v>
      </c>
    </row>
    <row r="120" spans="1:5" x14ac:dyDescent="0.25">
      <c r="A120">
        <v>117</v>
      </c>
      <c r="B120" s="4">
        <f>-PPMT('With Loan'!$D$41/12,'30% Down Amortization'!$A120,360,'With Loan'!$D$40,0,0)</f>
        <v>766.11890566859427</v>
      </c>
      <c r="C120" s="4">
        <f>-IPMT('With Loan'!$D$41/12,'30% Down Amortization'!$A120,360,'With Loan'!$D$40,0,0)</f>
        <v>874.20410158847221</v>
      </c>
      <c r="D120" s="4">
        <f t="shared" si="3"/>
        <v>1640.3230072570664</v>
      </c>
      <c r="E120" s="3">
        <f t="shared" si="4"/>
        <v>278979.19360264263</v>
      </c>
    </row>
    <row r="121" spans="1:5" x14ac:dyDescent="0.25">
      <c r="A121">
        <v>118</v>
      </c>
      <c r="B121" s="4">
        <f>-PPMT('With Loan'!$D$41/12,'30% Down Amortization'!$A121,360,'With Loan'!$D$40,0,0)</f>
        <v>768.5130272488085</v>
      </c>
      <c r="C121" s="4">
        <f>-IPMT('With Loan'!$D$41/12,'30% Down Amortization'!$A121,360,'With Loan'!$D$40,0,0)</f>
        <v>871.80998000825798</v>
      </c>
      <c r="D121" s="4">
        <f t="shared" si="3"/>
        <v>1640.3230072570664</v>
      </c>
      <c r="E121" s="3">
        <f t="shared" si="4"/>
        <v>278210.68057539384</v>
      </c>
    </row>
    <row r="122" spans="1:5" x14ac:dyDescent="0.25">
      <c r="A122">
        <v>119</v>
      </c>
      <c r="B122" s="4">
        <f>-PPMT('With Loan'!$D$41/12,'30% Down Amortization'!$A122,360,'With Loan'!$D$40,0,0)</f>
        <v>770.91463045896114</v>
      </c>
      <c r="C122" s="4">
        <f>-IPMT('With Loan'!$D$41/12,'30% Down Amortization'!$A122,360,'With Loan'!$D$40,0,0)</f>
        <v>869.40837679810534</v>
      </c>
      <c r="D122" s="4">
        <f t="shared" si="3"/>
        <v>1640.3230072570664</v>
      </c>
      <c r="E122" s="3">
        <f t="shared" si="4"/>
        <v>277439.76594493486</v>
      </c>
    </row>
    <row r="123" spans="1:5" x14ac:dyDescent="0.25">
      <c r="A123">
        <v>120</v>
      </c>
      <c r="B123" s="4">
        <f>-PPMT('With Loan'!$D$41/12,'30% Down Amortization'!$A123,360,'With Loan'!$D$40,0,0)</f>
        <v>773.32373867914555</v>
      </c>
      <c r="C123" s="4">
        <f>-IPMT('With Loan'!$D$41/12,'30% Down Amortization'!$A123,360,'With Loan'!$D$40,0,0)</f>
        <v>866.99926857792116</v>
      </c>
      <c r="D123" s="4">
        <f t="shared" si="3"/>
        <v>1640.3230072570668</v>
      </c>
      <c r="E123" s="3">
        <f t="shared" si="4"/>
        <v>276666.44220625568</v>
      </c>
    </row>
    <row r="124" spans="1:5" x14ac:dyDescent="0.25">
      <c r="A124">
        <v>121</v>
      </c>
      <c r="B124" s="4">
        <f>-PPMT('With Loan'!$D$41/12,'30% Down Amortization'!$A124,360,'With Loan'!$D$40,0,0)</f>
        <v>775.74037536251774</v>
      </c>
      <c r="C124" s="4">
        <f>-IPMT('With Loan'!$D$41/12,'30% Down Amortization'!$A124,360,'With Loan'!$D$40,0,0)</f>
        <v>864.58263189454874</v>
      </c>
      <c r="D124" s="4">
        <f t="shared" si="3"/>
        <v>1640.3230072570664</v>
      </c>
      <c r="E124" s="3">
        <f t="shared" si="4"/>
        <v>275890.70183089317</v>
      </c>
    </row>
    <row r="125" spans="1:5" x14ac:dyDescent="0.25">
      <c r="A125">
        <v>122</v>
      </c>
      <c r="B125" s="4">
        <f>-PPMT('With Loan'!$D$41/12,'30% Down Amortization'!$A125,360,'With Loan'!$D$40,0,0)</f>
        <v>778.1645640355257</v>
      </c>
      <c r="C125" s="4">
        <f>-IPMT('With Loan'!$D$41/12,'30% Down Amortization'!$A125,360,'With Loan'!$D$40,0,0)</f>
        <v>862.15844322154089</v>
      </c>
      <c r="D125" s="4">
        <f t="shared" si="3"/>
        <v>1640.3230072570666</v>
      </c>
      <c r="E125" s="3">
        <f t="shared" si="4"/>
        <v>275112.53726685763</v>
      </c>
    </row>
    <row r="126" spans="1:5" x14ac:dyDescent="0.25">
      <c r="A126">
        <v>123</v>
      </c>
      <c r="B126" s="4">
        <f>-PPMT('With Loan'!$D$41/12,'30% Down Amortization'!$A126,360,'With Loan'!$D$40,0,0)</f>
        <v>780.59632829813665</v>
      </c>
      <c r="C126" s="4">
        <f>-IPMT('With Loan'!$D$41/12,'30% Down Amortization'!$A126,360,'With Loan'!$D$40,0,0)</f>
        <v>859.72667895892971</v>
      </c>
      <c r="D126" s="4">
        <f t="shared" si="3"/>
        <v>1640.3230072570664</v>
      </c>
      <c r="E126" s="3">
        <f t="shared" si="4"/>
        <v>274331.94093855948</v>
      </c>
    </row>
    <row r="127" spans="1:5" x14ac:dyDescent="0.25">
      <c r="A127">
        <v>124</v>
      </c>
      <c r="B127" s="4">
        <f>-PPMT('With Loan'!$D$41/12,'30% Down Amortization'!$A127,360,'With Loan'!$D$40,0,0)</f>
        <v>783.03569182406829</v>
      </c>
      <c r="C127" s="4">
        <f>-IPMT('With Loan'!$D$41/12,'30% Down Amortization'!$A127,360,'With Loan'!$D$40,0,0)</f>
        <v>857.2873154329983</v>
      </c>
      <c r="D127" s="4">
        <f t="shared" si="3"/>
        <v>1640.3230072570666</v>
      </c>
      <c r="E127" s="3">
        <f t="shared" si="4"/>
        <v>273548.90524673543</v>
      </c>
    </row>
    <row r="128" spans="1:5" x14ac:dyDescent="0.25">
      <c r="A128">
        <v>125</v>
      </c>
      <c r="B128" s="4">
        <f>-PPMT('With Loan'!$D$41/12,'30% Down Amortization'!$A128,360,'With Loan'!$D$40,0,0)</f>
        <v>785.48267836101854</v>
      </c>
      <c r="C128" s="4">
        <f>-IPMT('With Loan'!$D$41/12,'30% Down Amortization'!$A128,360,'With Loan'!$D$40,0,0)</f>
        <v>854.84032889604794</v>
      </c>
      <c r="D128" s="4">
        <f t="shared" si="3"/>
        <v>1640.3230072570664</v>
      </c>
      <c r="E128" s="3">
        <f t="shared" si="4"/>
        <v>272763.42256837443</v>
      </c>
    </row>
    <row r="129" spans="1:5" x14ac:dyDescent="0.25">
      <c r="A129">
        <v>126</v>
      </c>
      <c r="B129" s="4">
        <f>-PPMT('With Loan'!$D$41/12,'30% Down Amortization'!$A129,360,'With Loan'!$D$40,0,0)</f>
        <v>787.93731173089679</v>
      </c>
      <c r="C129" s="4">
        <f>-IPMT('With Loan'!$D$41/12,'30% Down Amortization'!$A129,360,'With Loan'!$D$40,0,0)</f>
        <v>852.3856955261698</v>
      </c>
      <c r="D129" s="4">
        <f t="shared" si="3"/>
        <v>1640.3230072570666</v>
      </c>
      <c r="E129" s="3">
        <f t="shared" si="4"/>
        <v>271975.48525664356</v>
      </c>
    </row>
    <row r="130" spans="1:5" x14ac:dyDescent="0.25">
      <c r="A130">
        <v>127</v>
      </c>
      <c r="B130" s="4">
        <f>-PPMT('With Loan'!$D$41/12,'30% Down Amortization'!$A130,360,'With Loan'!$D$40,0,0)</f>
        <v>790.39961583005572</v>
      </c>
      <c r="C130" s="4">
        <f>-IPMT('With Loan'!$D$41/12,'30% Down Amortization'!$A130,360,'With Loan'!$D$40,0,0)</f>
        <v>849.92339142701087</v>
      </c>
      <c r="D130" s="4">
        <f t="shared" si="3"/>
        <v>1640.3230072570666</v>
      </c>
      <c r="E130" s="3">
        <f t="shared" si="4"/>
        <v>271185.08564081352</v>
      </c>
    </row>
    <row r="131" spans="1:5" x14ac:dyDescent="0.25">
      <c r="A131">
        <v>128</v>
      </c>
      <c r="B131" s="4">
        <f>-PPMT('With Loan'!$D$41/12,'30% Down Amortization'!$A131,360,'With Loan'!$D$40,0,0)</f>
        <v>792.86961462952468</v>
      </c>
      <c r="C131" s="4">
        <f>-IPMT('With Loan'!$D$41/12,'30% Down Amortization'!$A131,360,'With Loan'!$D$40,0,0)</f>
        <v>847.4533926275418</v>
      </c>
      <c r="D131" s="4">
        <f t="shared" si="3"/>
        <v>1640.3230072570664</v>
      </c>
      <c r="E131" s="3">
        <f t="shared" si="4"/>
        <v>270392.21602618397</v>
      </c>
    </row>
    <row r="132" spans="1:5" x14ac:dyDescent="0.25">
      <c r="A132">
        <v>129</v>
      </c>
      <c r="B132" s="4">
        <f>-PPMT('With Loan'!$D$41/12,'30% Down Amortization'!$A132,360,'With Loan'!$D$40,0,0)</f>
        <v>795.34733217524195</v>
      </c>
      <c r="C132" s="4">
        <f>-IPMT('With Loan'!$D$41/12,'30% Down Amortization'!$A132,360,'With Loan'!$D$40,0,0)</f>
        <v>844.97567508182465</v>
      </c>
      <c r="D132" s="4">
        <f t="shared" si="3"/>
        <v>1640.3230072570666</v>
      </c>
      <c r="E132" s="3">
        <f t="shared" si="4"/>
        <v>269596.86869400874</v>
      </c>
    </row>
    <row r="133" spans="1:5" x14ac:dyDescent="0.25">
      <c r="A133">
        <v>130</v>
      </c>
      <c r="B133" s="4">
        <f>-PPMT('With Loan'!$D$41/12,'30% Down Amortization'!$A133,360,'With Loan'!$D$40,0,0)</f>
        <v>797.83279258828952</v>
      </c>
      <c r="C133" s="4">
        <f>-IPMT('With Loan'!$D$41/12,'30% Down Amortization'!$A133,360,'With Loan'!$D$40,0,0)</f>
        <v>842.49021466877684</v>
      </c>
      <c r="D133" s="4">
        <f t="shared" ref="D133:D196" si="5">B133+C133</f>
        <v>1640.3230072570664</v>
      </c>
      <c r="E133" s="3">
        <f t="shared" si="4"/>
        <v>268799.03590142046</v>
      </c>
    </row>
    <row r="134" spans="1:5" x14ac:dyDescent="0.25">
      <c r="A134">
        <v>131</v>
      </c>
      <c r="B134" s="4">
        <f>-PPMT('With Loan'!$D$41/12,'30% Down Amortization'!$A134,360,'With Loan'!$D$40,0,0)</f>
        <v>800.32602006512798</v>
      </c>
      <c r="C134" s="4">
        <f>-IPMT('With Loan'!$D$41/12,'30% Down Amortization'!$A134,360,'With Loan'!$D$40,0,0)</f>
        <v>839.99698719193873</v>
      </c>
      <c r="D134" s="4">
        <f t="shared" si="5"/>
        <v>1640.3230072570668</v>
      </c>
      <c r="E134" s="3">
        <f t="shared" si="4"/>
        <v>267998.70988135535</v>
      </c>
    </row>
    <row r="135" spans="1:5" x14ac:dyDescent="0.25">
      <c r="A135">
        <v>132</v>
      </c>
      <c r="B135" s="4">
        <f>-PPMT('With Loan'!$D$41/12,'30% Down Amortization'!$A135,360,'With Loan'!$D$40,0,0)</f>
        <v>802.82703887783157</v>
      </c>
      <c r="C135" s="4">
        <f>-IPMT('With Loan'!$D$41/12,'30% Down Amortization'!$A135,360,'With Loan'!$D$40,0,0)</f>
        <v>837.4959683792348</v>
      </c>
      <c r="D135" s="4">
        <f t="shared" si="5"/>
        <v>1640.3230072570664</v>
      </c>
      <c r="E135" s="3">
        <f t="shared" si="4"/>
        <v>267195.88284247753</v>
      </c>
    </row>
    <row r="136" spans="1:5" x14ac:dyDescent="0.25">
      <c r="A136">
        <v>133</v>
      </c>
      <c r="B136" s="4">
        <f>-PPMT('With Loan'!$D$41/12,'30% Down Amortization'!$A136,360,'With Loan'!$D$40,0,0)</f>
        <v>805.33587337432471</v>
      </c>
      <c r="C136" s="4">
        <f>-IPMT('With Loan'!$D$41/12,'30% Down Amortization'!$A136,360,'With Loan'!$D$40,0,0)</f>
        <v>834.98713388274189</v>
      </c>
      <c r="D136" s="4">
        <f t="shared" si="5"/>
        <v>1640.3230072570666</v>
      </c>
      <c r="E136" s="3">
        <f t="shared" si="4"/>
        <v>266390.54696910322</v>
      </c>
    </row>
    <row r="137" spans="1:5" x14ac:dyDescent="0.25">
      <c r="A137">
        <v>134</v>
      </c>
      <c r="B137" s="4">
        <f>-PPMT('With Loan'!$D$41/12,'30% Down Amortization'!$A137,360,'With Loan'!$D$40,0,0)</f>
        <v>807.85254797861944</v>
      </c>
      <c r="C137" s="4">
        <f>-IPMT('With Loan'!$D$41/12,'30% Down Amortization'!$A137,360,'With Loan'!$D$40,0,0)</f>
        <v>832.47045927844692</v>
      </c>
      <c r="D137" s="4">
        <f t="shared" si="5"/>
        <v>1640.3230072570664</v>
      </c>
      <c r="E137" s="3">
        <f t="shared" si="4"/>
        <v>265582.69442112459</v>
      </c>
    </row>
    <row r="138" spans="1:5" x14ac:dyDescent="0.25">
      <c r="A138">
        <v>135</v>
      </c>
      <c r="B138" s="4">
        <f>-PPMT('With Loan'!$D$41/12,'30% Down Amortization'!$A138,360,'With Loan'!$D$40,0,0)</f>
        <v>810.37708719105274</v>
      </c>
      <c r="C138" s="4">
        <f>-IPMT('With Loan'!$D$41/12,'30% Down Amortization'!$A138,360,'With Loan'!$D$40,0,0)</f>
        <v>829.94592006601374</v>
      </c>
      <c r="D138" s="4">
        <f t="shared" si="5"/>
        <v>1640.3230072570664</v>
      </c>
      <c r="E138" s="3">
        <f t="shared" si="4"/>
        <v>264772.31733393355</v>
      </c>
    </row>
    <row r="139" spans="1:5" x14ac:dyDescent="0.25">
      <c r="A139">
        <v>136</v>
      </c>
      <c r="B139" s="4">
        <f>-PPMT('With Loan'!$D$41/12,'30% Down Amortization'!$A139,360,'With Loan'!$D$40,0,0)</f>
        <v>812.90951558852464</v>
      </c>
      <c r="C139" s="4">
        <f>-IPMT('With Loan'!$D$41/12,'30% Down Amortization'!$A139,360,'With Loan'!$D$40,0,0)</f>
        <v>827.41349166854195</v>
      </c>
      <c r="D139" s="4">
        <f t="shared" si="5"/>
        <v>1640.3230072570666</v>
      </c>
      <c r="E139" s="3">
        <f t="shared" si="4"/>
        <v>263959.407818345</v>
      </c>
    </row>
    <row r="140" spans="1:5" x14ac:dyDescent="0.25">
      <c r="A140">
        <v>137</v>
      </c>
      <c r="B140" s="4">
        <f>-PPMT('With Loan'!$D$41/12,'30% Down Amortization'!$A140,360,'With Loan'!$D$40,0,0)</f>
        <v>815.44985782473884</v>
      </c>
      <c r="C140" s="4">
        <f>-IPMT('With Loan'!$D$41/12,'30% Down Amortization'!$A140,360,'With Loan'!$D$40,0,0)</f>
        <v>824.87314943232775</v>
      </c>
      <c r="D140" s="4">
        <f t="shared" si="5"/>
        <v>1640.3230072570666</v>
      </c>
      <c r="E140" s="3">
        <f t="shared" si="4"/>
        <v>263143.95796052029</v>
      </c>
    </row>
    <row r="141" spans="1:5" x14ac:dyDescent="0.25">
      <c r="A141">
        <v>138</v>
      </c>
      <c r="B141" s="4">
        <f>-PPMT('With Loan'!$D$41/12,'30% Down Amortization'!$A141,360,'With Loan'!$D$40,0,0)</f>
        <v>817.9981386304413</v>
      </c>
      <c r="C141" s="4">
        <f>-IPMT('With Loan'!$D$41/12,'30% Down Amortization'!$A141,360,'With Loan'!$D$40,0,0)</f>
        <v>822.32486862662529</v>
      </c>
      <c r="D141" s="4">
        <f t="shared" si="5"/>
        <v>1640.3230072570666</v>
      </c>
      <c r="E141" s="3">
        <f t="shared" si="4"/>
        <v>262325.95982188988</v>
      </c>
    </row>
    <row r="142" spans="1:5" x14ac:dyDescent="0.25">
      <c r="A142">
        <v>139</v>
      </c>
      <c r="B142" s="4">
        <f>-PPMT('With Loan'!$D$41/12,'30% Down Amortization'!$A142,360,'With Loan'!$D$40,0,0)</f>
        <v>820.55438281366128</v>
      </c>
      <c r="C142" s="4">
        <f>-IPMT('With Loan'!$D$41/12,'30% Down Amortization'!$A142,360,'With Loan'!$D$40,0,0)</f>
        <v>819.7686244434052</v>
      </c>
      <c r="D142" s="4">
        <f t="shared" si="5"/>
        <v>1640.3230072570664</v>
      </c>
      <c r="E142" s="3">
        <f t="shared" si="4"/>
        <v>261505.40543907622</v>
      </c>
    </row>
    <row r="143" spans="1:5" x14ac:dyDescent="0.25">
      <c r="A143">
        <v>140</v>
      </c>
      <c r="B143" s="4">
        <f>-PPMT('With Loan'!$D$41/12,'30% Down Amortization'!$A143,360,'With Loan'!$D$40,0,0)</f>
        <v>823.1186152599538</v>
      </c>
      <c r="C143" s="4">
        <f>-IPMT('With Loan'!$D$41/12,'30% Down Amortization'!$A143,360,'With Loan'!$D$40,0,0)</f>
        <v>817.20439199711245</v>
      </c>
      <c r="D143" s="4">
        <f t="shared" si="5"/>
        <v>1640.3230072570664</v>
      </c>
      <c r="E143" s="3">
        <f t="shared" si="4"/>
        <v>260682.28682381628</v>
      </c>
    </row>
    <row r="144" spans="1:5" x14ac:dyDescent="0.25">
      <c r="A144">
        <v>141</v>
      </c>
      <c r="B144" s="4">
        <f>-PPMT('With Loan'!$D$41/12,'30% Down Amortization'!$A144,360,'With Loan'!$D$40,0,0)</f>
        <v>825.69086093264116</v>
      </c>
      <c r="C144" s="4">
        <f>-IPMT('With Loan'!$D$41/12,'30% Down Amortization'!$A144,360,'With Loan'!$D$40,0,0)</f>
        <v>814.63214632442521</v>
      </c>
      <c r="D144" s="4">
        <f t="shared" si="5"/>
        <v>1640.3230072570664</v>
      </c>
      <c r="E144" s="3">
        <f t="shared" si="4"/>
        <v>259856.59596288364</v>
      </c>
    </row>
    <row r="145" spans="1:5" x14ac:dyDescent="0.25">
      <c r="A145">
        <v>142</v>
      </c>
      <c r="B145" s="4">
        <f>-PPMT('With Loan'!$D$41/12,'30% Down Amortization'!$A145,360,'With Loan'!$D$40,0,0)</f>
        <v>828.27114487305596</v>
      </c>
      <c r="C145" s="4">
        <f>-IPMT('With Loan'!$D$41/12,'30% Down Amortization'!$A145,360,'With Loan'!$D$40,0,0)</f>
        <v>812.05186238401063</v>
      </c>
      <c r="D145" s="4">
        <f t="shared" si="5"/>
        <v>1640.3230072570666</v>
      </c>
      <c r="E145" s="3">
        <f t="shared" si="4"/>
        <v>259028.32481801059</v>
      </c>
    </row>
    <row r="146" spans="1:5" x14ac:dyDescent="0.25">
      <c r="A146">
        <v>143</v>
      </c>
      <c r="B146" s="4">
        <f>-PPMT('With Loan'!$D$41/12,'30% Down Amortization'!$A146,360,'With Loan'!$D$40,0,0)</f>
        <v>830.85949220078408</v>
      </c>
      <c r="C146" s="4">
        <f>-IPMT('With Loan'!$D$41/12,'30% Down Amortization'!$A146,360,'With Loan'!$D$40,0,0)</f>
        <v>809.46351505628229</v>
      </c>
      <c r="D146" s="4">
        <f t="shared" si="5"/>
        <v>1640.3230072570664</v>
      </c>
      <c r="E146" s="3">
        <f t="shared" si="4"/>
        <v>258197.46532580981</v>
      </c>
    </row>
    <row r="147" spans="1:5" x14ac:dyDescent="0.25">
      <c r="A147">
        <v>144</v>
      </c>
      <c r="B147" s="4">
        <f>-PPMT('With Loan'!$D$41/12,'30% Down Amortization'!$A147,360,'With Loan'!$D$40,0,0)</f>
        <v>833.45592811391157</v>
      </c>
      <c r="C147" s="4">
        <f>-IPMT('With Loan'!$D$41/12,'30% Down Amortization'!$A147,360,'With Loan'!$D$40,0,0)</f>
        <v>806.86707914315491</v>
      </c>
      <c r="D147" s="4">
        <f t="shared" si="5"/>
        <v>1640.3230072570664</v>
      </c>
      <c r="E147" s="3">
        <f t="shared" si="4"/>
        <v>257364.00939769589</v>
      </c>
    </row>
    <row r="148" spans="1:5" x14ac:dyDescent="0.25">
      <c r="A148">
        <v>145</v>
      </c>
      <c r="B148" s="4">
        <f>-PPMT('With Loan'!$D$41/12,'30% Down Amortization'!$A148,360,'With Loan'!$D$40,0,0)</f>
        <v>836.06047788926764</v>
      </c>
      <c r="C148" s="4">
        <f>-IPMT('With Loan'!$D$41/12,'30% Down Amortization'!$A148,360,'With Loan'!$D$40,0,0)</f>
        <v>804.26252936779895</v>
      </c>
      <c r="D148" s="4">
        <f t="shared" si="5"/>
        <v>1640.3230072570666</v>
      </c>
      <c r="E148" s="3">
        <f t="shared" si="4"/>
        <v>256527.94891980663</v>
      </c>
    </row>
    <row r="149" spans="1:5" x14ac:dyDescent="0.25">
      <c r="A149">
        <v>146</v>
      </c>
      <c r="B149" s="4">
        <f>-PPMT('With Loan'!$D$41/12,'30% Down Amortization'!$A149,360,'With Loan'!$D$40,0,0)</f>
        <v>838.67316688267158</v>
      </c>
      <c r="C149" s="4">
        <f>-IPMT('With Loan'!$D$41/12,'30% Down Amortization'!$A149,360,'With Loan'!$D$40,0,0)</f>
        <v>801.6498403743949</v>
      </c>
      <c r="D149" s="4">
        <f t="shared" si="5"/>
        <v>1640.3230072570664</v>
      </c>
      <c r="E149" s="3">
        <f t="shared" si="4"/>
        <v>255689.27575292395</v>
      </c>
    </row>
    <row r="150" spans="1:5" x14ac:dyDescent="0.25">
      <c r="A150">
        <v>147</v>
      </c>
      <c r="B150" s="4">
        <f>-PPMT('With Loan'!$D$41/12,'30% Down Amortization'!$A150,360,'With Loan'!$D$40,0,0)</f>
        <v>841.29402052917987</v>
      </c>
      <c r="C150" s="4">
        <f>-IPMT('With Loan'!$D$41/12,'30% Down Amortization'!$A150,360,'With Loan'!$D$40,0,0)</f>
        <v>799.0289867278866</v>
      </c>
      <c r="D150" s="4">
        <f t="shared" si="5"/>
        <v>1640.3230072570664</v>
      </c>
      <c r="E150" s="3">
        <f t="shared" si="4"/>
        <v>254847.98173239478</v>
      </c>
    </row>
    <row r="151" spans="1:5" x14ac:dyDescent="0.25">
      <c r="A151">
        <v>148</v>
      </c>
      <c r="B151" s="4">
        <f>-PPMT('With Loan'!$D$41/12,'30% Down Amortization'!$A151,360,'With Loan'!$D$40,0,0)</f>
        <v>843.92306434333364</v>
      </c>
      <c r="C151" s="4">
        <f>-IPMT('With Loan'!$D$41/12,'30% Down Amortization'!$A151,360,'With Loan'!$D$40,0,0)</f>
        <v>796.39994291373296</v>
      </c>
      <c r="D151" s="4">
        <f t="shared" si="5"/>
        <v>1640.3230072570666</v>
      </c>
      <c r="E151" s="3">
        <f t="shared" si="4"/>
        <v>254004.05866805144</v>
      </c>
    </row>
    <row r="152" spans="1:5" x14ac:dyDescent="0.25">
      <c r="A152">
        <v>149</v>
      </c>
      <c r="B152" s="4">
        <f>-PPMT('With Loan'!$D$41/12,'30% Down Amortization'!$A152,360,'With Loan'!$D$40,0,0)</f>
        <v>846.56032391940653</v>
      </c>
      <c r="C152" s="4">
        <f>-IPMT('With Loan'!$D$41/12,'30% Down Amortization'!$A152,360,'With Loan'!$D$40,0,0)</f>
        <v>793.76268333765995</v>
      </c>
      <c r="D152" s="4">
        <f t="shared" si="5"/>
        <v>1640.3230072570664</v>
      </c>
      <c r="E152" s="3">
        <f t="shared" si="4"/>
        <v>253157.49834413204</v>
      </c>
    </row>
    <row r="153" spans="1:5" x14ac:dyDescent="0.25">
      <c r="A153">
        <v>150</v>
      </c>
      <c r="B153" s="4">
        <f>-PPMT('With Loan'!$D$41/12,'30% Down Amortization'!$A153,360,'With Loan'!$D$40,0,0)</f>
        <v>849.20582493165466</v>
      </c>
      <c r="C153" s="4">
        <f>-IPMT('With Loan'!$D$41/12,'30% Down Amortization'!$A153,360,'With Loan'!$D$40,0,0)</f>
        <v>791.11718232541193</v>
      </c>
      <c r="D153" s="4">
        <f t="shared" si="5"/>
        <v>1640.3230072570666</v>
      </c>
      <c r="E153" s="3">
        <f t="shared" si="4"/>
        <v>252308.29251920039</v>
      </c>
    </row>
    <row r="154" spans="1:5" x14ac:dyDescent="0.25">
      <c r="A154">
        <v>151</v>
      </c>
      <c r="B154" s="4">
        <f>-PPMT('With Loan'!$D$41/12,'30% Down Amortization'!$A154,360,'With Loan'!$D$40,0,0)</f>
        <v>851.85959313456601</v>
      </c>
      <c r="C154" s="4">
        <f>-IPMT('With Loan'!$D$41/12,'30% Down Amortization'!$A154,360,'With Loan'!$D$40,0,0)</f>
        <v>788.46341412250047</v>
      </c>
      <c r="D154" s="4">
        <f t="shared" si="5"/>
        <v>1640.3230072570664</v>
      </c>
      <c r="E154" s="3">
        <f t="shared" si="4"/>
        <v>251456.43292606581</v>
      </c>
    </row>
    <row r="155" spans="1:5" x14ac:dyDescent="0.25">
      <c r="A155">
        <v>152</v>
      </c>
      <c r="B155" s="4">
        <f>-PPMT('With Loan'!$D$41/12,'30% Down Amortization'!$A155,360,'With Loan'!$D$40,0,0)</f>
        <v>854.52165436311168</v>
      </c>
      <c r="C155" s="4">
        <f>-IPMT('With Loan'!$D$41/12,'30% Down Amortization'!$A155,360,'With Loan'!$D$40,0,0)</f>
        <v>785.80135289395491</v>
      </c>
      <c r="D155" s="4">
        <f t="shared" si="5"/>
        <v>1640.3230072570666</v>
      </c>
      <c r="E155" s="3">
        <f t="shared" si="4"/>
        <v>250601.9112717027</v>
      </c>
    </row>
    <row r="156" spans="1:5" x14ac:dyDescent="0.25">
      <c r="A156">
        <v>153</v>
      </c>
      <c r="B156" s="4">
        <f>-PPMT('With Loan'!$D$41/12,'30% Down Amortization'!$A156,360,'With Loan'!$D$40,0,0)</f>
        <v>857.19203453299622</v>
      </c>
      <c r="C156" s="4">
        <f>-IPMT('With Loan'!$D$41/12,'30% Down Amortization'!$A156,360,'With Loan'!$D$40,0,0)</f>
        <v>783.13097272407003</v>
      </c>
      <c r="D156" s="4">
        <f t="shared" si="5"/>
        <v>1640.3230072570664</v>
      </c>
      <c r="E156" s="3">
        <f t="shared" si="4"/>
        <v>249744.71923716972</v>
      </c>
    </row>
    <row r="157" spans="1:5" x14ac:dyDescent="0.25">
      <c r="A157">
        <v>154</v>
      </c>
      <c r="B157" s="4">
        <f>-PPMT('With Loan'!$D$41/12,'30% Down Amortization'!$A157,360,'With Loan'!$D$40,0,0)</f>
        <v>859.87075964091196</v>
      </c>
      <c r="C157" s="4">
        <f>-IPMT('With Loan'!$D$41/12,'30% Down Amortization'!$A157,360,'With Loan'!$D$40,0,0)</f>
        <v>780.45224761615452</v>
      </c>
      <c r="D157" s="4">
        <f t="shared" si="5"/>
        <v>1640.3230072570664</v>
      </c>
      <c r="E157" s="3">
        <f t="shared" si="4"/>
        <v>248884.84847752881</v>
      </c>
    </row>
    <row r="158" spans="1:5" x14ac:dyDescent="0.25">
      <c r="A158">
        <v>155</v>
      </c>
      <c r="B158" s="4">
        <f>-PPMT('With Loan'!$D$41/12,'30% Down Amortization'!$A158,360,'With Loan'!$D$40,0,0)</f>
        <v>862.55785576478991</v>
      </c>
      <c r="C158" s="4">
        <f>-IPMT('With Loan'!$D$41/12,'30% Down Amortization'!$A158,360,'With Loan'!$D$40,0,0)</f>
        <v>777.76515149227669</v>
      </c>
      <c r="D158" s="4">
        <f t="shared" si="5"/>
        <v>1640.3230072570666</v>
      </c>
      <c r="E158" s="3">
        <f t="shared" si="4"/>
        <v>248022.29062176403</v>
      </c>
    </row>
    <row r="159" spans="1:5" x14ac:dyDescent="0.25">
      <c r="A159">
        <v>156</v>
      </c>
      <c r="B159" s="4">
        <f>-PPMT('With Loan'!$D$41/12,'30% Down Amortization'!$A159,360,'With Loan'!$D$40,0,0)</f>
        <v>865.25334906405476</v>
      </c>
      <c r="C159" s="4">
        <f>-IPMT('With Loan'!$D$41/12,'30% Down Amortization'!$A159,360,'With Loan'!$D$40,0,0)</f>
        <v>775.06965819301172</v>
      </c>
      <c r="D159" s="4">
        <f t="shared" si="5"/>
        <v>1640.3230072570664</v>
      </c>
      <c r="E159" s="3">
        <f t="shared" si="4"/>
        <v>247157.03727269996</v>
      </c>
    </row>
    <row r="160" spans="1:5" x14ac:dyDescent="0.25">
      <c r="A160">
        <v>157</v>
      </c>
      <c r="B160" s="4">
        <f>-PPMT('With Loan'!$D$41/12,'30% Down Amortization'!$A160,360,'With Loan'!$D$40,0,0)</f>
        <v>867.95726577988</v>
      </c>
      <c r="C160" s="4">
        <f>-IPMT('With Loan'!$D$41/12,'30% Down Amortization'!$A160,360,'With Loan'!$D$40,0,0)</f>
        <v>772.36574147718659</v>
      </c>
      <c r="D160" s="4">
        <f t="shared" si="5"/>
        <v>1640.3230072570666</v>
      </c>
      <c r="E160" s="3">
        <f t="shared" si="4"/>
        <v>246289.08000692009</v>
      </c>
    </row>
    <row r="161" spans="1:5" x14ac:dyDescent="0.25">
      <c r="A161">
        <v>158</v>
      </c>
      <c r="B161" s="4">
        <f>-PPMT('With Loan'!$D$41/12,'30% Down Amortization'!$A161,360,'With Loan'!$D$40,0,0)</f>
        <v>870.66963223544224</v>
      </c>
      <c r="C161" s="4">
        <f>-IPMT('With Loan'!$D$41/12,'30% Down Amortization'!$A161,360,'With Loan'!$D$40,0,0)</f>
        <v>769.65337502162458</v>
      </c>
      <c r="D161" s="4">
        <f t="shared" si="5"/>
        <v>1640.3230072570668</v>
      </c>
      <c r="E161" s="3">
        <f t="shared" si="4"/>
        <v>245418.41037468464</v>
      </c>
    </row>
    <row r="162" spans="1:5" x14ac:dyDescent="0.25">
      <c r="A162">
        <v>159</v>
      </c>
      <c r="B162" s="4">
        <f>-PPMT('With Loan'!$D$41/12,'30% Down Amortization'!$A162,360,'With Loan'!$D$40,0,0)</f>
        <v>873.39047483617776</v>
      </c>
      <c r="C162" s="4">
        <f>-IPMT('With Loan'!$D$41/12,'30% Down Amortization'!$A162,360,'With Loan'!$D$40,0,0)</f>
        <v>766.93253242088883</v>
      </c>
      <c r="D162" s="4">
        <f t="shared" si="5"/>
        <v>1640.3230072570666</v>
      </c>
      <c r="E162" s="3">
        <f t="shared" ref="E162:E225" si="6">E161-B162</f>
        <v>244545.01989984847</v>
      </c>
    </row>
    <row r="163" spans="1:5" x14ac:dyDescent="0.25">
      <c r="A163">
        <v>160</v>
      </c>
      <c r="B163" s="4">
        <f>-PPMT('With Loan'!$D$41/12,'30% Down Amortization'!$A163,360,'With Loan'!$D$40,0,0)</f>
        <v>876.11982007004087</v>
      </c>
      <c r="C163" s="4">
        <f>-IPMT('With Loan'!$D$41/12,'30% Down Amortization'!$A163,360,'With Loan'!$D$40,0,0)</f>
        <v>764.20318718702572</v>
      </c>
      <c r="D163" s="4">
        <f t="shared" si="5"/>
        <v>1640.3230072570666</v>
      </c>
      <c r="E163" s="3">
        <f t="shared" si="6"/>
        <v>243668.90007977842</v>
      </c>
    </row>
    <row r="164" spans="1:5" x14ac:dyDescent="0.25">
      <c r="A164">
        <v>161</v>
      </c>
      <c r="B164" s="4">
        <f>-PPMT('With Loan'!$D$41/12,'30% Down Amortization'!$A164,360,'With Loan'!$D$40,0,0)</f>
        <v>878.85769450775979</v>
      </c>
      <c r="C164" s="4">
        <f>-IPMT('With Loan'!$D$41/12,'30% Down Amortization'!$A164,360,'With Loan'!$D$40,0,0)</f>
        <v>761.46531274930692</v>
      </c>
      <c r="D164" s="4">
        <f t="shared" si="5"/>
        <v>1640.3230072570668</v>
      </c>
      <c r="E164" s="3">
        <f t="shared" si="6"/>
        <v>242790.04238527067</v>
      </c>
    </row>
    <row r="165" spans="1:5" x14ac:dyDescent="0.25">
      <c r="A165">
        <v>162</v>
      </c>
      <c r="B165" s="4">
        <f>-PPMT('With Loan'!$D$41/12,'30% Down Amortization'!$A165,360,'With Loan'!$D$40,0,0)</f>
        <v>881.6041248030964</v>
      </c>
      <c r="C165" s="4">
        <f>-IPMT('With Loan'!$D$41/12,'30% Down Amortization'!$A165,360,'With Loan'!$D$40,0,0)</f>
        <v>758.71888245397008</v>
      </c>
      <c r="D165" s="4">
        <f t="shared" si="5"/>
        <v>1640.3230072570664</v>
      </c>
      <c r="E165" s="3">
        <f t="shared" si="6"/>
        <v>241908.43826046758</v>
      </c>
    </row>
    <row r="166" spans="1:5" x14ac:dyDescent="0.25">
      <c r="A166">
        <v>163</v>
      </c>
      <c r="B166" s="4">
        <f>-PPMT('With Loan'!$D$41/12,'30% Down Amortization'!$A166,360,'With Loan'!$D$40,0,0)</f>
        <v>884.35913769310616</v>
      </c>
      <c r="C166" s="4">
        <f>-IPMT('With Loan'!$D$41/12,'30% Down Amortization'!$A166,360,'With Loan'!$D$40,0,0)</f>
        <v>755.96386956396043</v>
      </c>
      <c r="D166" s="4">
        <f t="shared" si="5"/>
        <v>1640.3230072570666</v>
      </c>
      <c r="E166" s="3">
        <f t="shared" si="6"/>
        <v>241024.07912277448</v>
      </c>
    </row>
    <row r="167" spans="1:5" x14ac:dyDescent="0.25">
      <c r="A167">
        <v>164</v>
      </c>
      <c r="B167" s="4">
        <f>-PPMT('With Loan'!$D$41/12,'30% Down Amortization'!$A167,360,'With Loan'!$D$40,0,0)</f>
        <v>887.1227599983971</v>
      </c>
      <c r="C167" s="4">
        <f>-IPMT('With Loan'!$D$41/12,'30% Down Amortization'!$A167,360,'With Loan'!$D$40,0,0)</f>
        <v>753.20024725866949</v>
      </c>
      <c r="D167" s="4">
        <f t="shared" si="5"/>
        <v>1640.3230072570666</v>
      </c>
      <c r="E167" s="3">
        <f t="shared" si="6"/>
        <v>240136.95636277608</v>
      </c>
    </row>
    <row r="168" spans="1:5" x14ac:dyDescent="0.25">
      <c r="A168">
        <v>165</v>
      </c>
      <c r="B168" s="4">
        <f>-PPMT('With Loan'!$D$41/12,'30% Down Amortization'!$A168,360,'With Loan'!$D$40,0,0)</f>
        <v>889.89501862339216</v>
      </c>
      <c r="C168" s="4">
        <f>-IPMT('With Loan'!$D$41/12,'30% Down Amortization'!$A168,360,'With Loan'!$D$40,0,0)</f>
        <v>750.42798863367454</v>
      </c>
      <c r="D168" s="4">
        <f t="shared" si="5"/>
        <v>1640.3230072570668</v>
      </c>
      <c r="E168" s="3">
        <f t="shared" si="6"/>
        <v>239247.06134415269</v>
      </c>
    </row>
    <row r="169" spans="1:5" x14ac:dyDescent="0.25">
      <c r="A169">
        <v>166</v>
      </c>
      <c r="B169" s="4">
        <f>-PPMT('With Loan'!$D$41/12,'30% Down Amortization'!$A169,360,'With Loan'!$D$40,0,0)</f>
        <v>892.67594055659026</v>
      </c>
      <c r="C169" s="4">
        <f>-IPMT('With Loan'!$D$41/12,'30% Down Amortization'!$A169,360,'With Loan'!$D$40,0,0)</f>
        <v>747.64706670047622</v>
      </c>
      <c r="D169" s="4">
        <f t="shared" si="5"/>
        <v>1640.3230072570664</v>
      </c>
      <c r="E169" s="3">
        <f t="shared" si="6"/>
        <v>238354.3854035961</v>
      </c>
    </row>
    <row r="170" spans="1:5" x14ac:dyDescent="0.25">
      <c r="A170">
        <v>167</v>
      </c>
      <c r="B170" s="4">
        <f>-PPMT('With Loan'!$D$41/12,'30% Down Amortization'!$A170,360,'With Loan'!$D$40,0,0)</f>
        <v>895.46555287082947</v>
      </c>
      <c r="C170" s="4">
        <f>-IPMT('With Loan'!$D$41/12,'30% Down Amortization'!$A170,360,'With Loan'!$D$40,0,0)</f>
        <v>744.85745438623701</v>
      </c>
      <c r="D170" s="4">
        <f t="shared" si="5"/>
        <v>1640.3230072570664</v>
      </c>
      <c r="E170" s="3">
        <f t="shared" si="6"/>
        <v>237458.91985072527</v>
      </c>
    </row>
    <row r="171" spans="1:5" x14ac:dyDescent="0.25">
      <c r="A171">
        <v>168</v>
      </c>
      <c r="B171" s="4">
        <f>-PPMT('With Loan'!$D$41/12,'30% Down Amortization'!$A171,360,'With Loan'!$D$40,0,0)</f>
        <v>898.26388272355086</v>
      </c>
      <c r="C171" s="4">
        <f>-IPMT('With Loan'!$D$41/12,'30% Down Amortization'!$A171,360,'With Loan'!$D$40,0,0)</f>
        <v>742.05912453351561</v>
      </c>
      <c r="D171" s="4">
        <f t="shared" si="5"/>
        <v>1640.3230072570664</v>
      </c>
      <c r="E171" s="3">
        <f t="shared" si="6"/>
        <v>236560.65596800172</v>
      </c>
    </row>
    <row r="172" spans="1:5" x14ac:dyDescent="0.25">
      <c r="A172">
        <v>169</v>
      </c>
      <c r="B172" s="4">
        <f>-PPMT('With Loan'!$D$41/12,'30% Down Amortization'!$A172,360,'With Loan'!$D$40,0,0)</f>
        <v>901.07095735706196</v>
      </c>
      <c r="C172" s="4">
        <f>-IPMT('With Loan'!$D$41/12,'30% Down Amortization'!$A172,360,'With Loan'!$D$40,0,0)</f>
        <v>739.25204990000452</v>
      </c>
      <c r="D172" s="4">
        <f t="shared" si="5"/>
        <v>1640.3230072570664</v>
      </c>
      <c r="E172" s="3">
        <f t="shared" si="6"/>
        <v>235659.58501064466</v>
      </c>
    </row>
    <row r="173" spans="1:5" x14ac:dyDescent="0.25">
      <c r="A173">
        <v>170</v>
      </c>
      <c r="B173" s="4">
        <f>-PPMT('With Loan'!$D$41/12,'30% Down Amortization'!$A173,360,'With Loan'!$D$40,0,0)</f>
        <v>903.8868040988026</v>
      </c>
      <c r="C173" s="4">
        <f>-IPMT('With Loan'!$D$41/12,'30% Down Amortization'!$A173,360,'With Loan'!$D$40,0,0)</f>
        <v>736.43620315826354</v>
      </c>
      <c r="D173" s="4">
        <f t="shared" si="5"/>
        <v>1640.3230072570661</v>
      </c>
      <c r="E173" s="3">
        <f t="shared" si="6"/>
        <v>234755.69820654584</v>
      </c>
    </row>
    <row r="174" spans="1:5" x14ac:dyDescent="0.25">
      <c r="A174">
        <v>171</v>
      </c>
      <c r="B174" s="4">
        <f>-PPMT('With Loan'!$D$41/12,'30% Down Amortization'!$A174,360,'With Loan'!$D$40,0,0)</f>
        <v>906.71145036161158</v>
      </c>
      <c r="C174" s="4">
        <f>-IPMT('With Loan'!$D$41/12,'30% Down Amortization'!$A174,360,'With Loan'!$D$40,0,0)</f>
        <v>733.61155689545501</v>
      </c>
      <c r="D174" s="4">
        <f t="shared" si="5"/>
        <v>1640.3230072570666</v>
      </c>
      <c r="E174" s="3">
        <f t="shared" si="6"/>
        <v>233848.98675618423</v>
      </c>
    </row>
    <row r="175" spans="1:5" x14ac:dyDescent="0.25">
      <c r="A175">
        <v>172</v>
      </c>
      <c r="B175" s="4">
        <f>-PPMT('With Loan'!$D$41/12,'30% Down Amortization'!$A175,360,'With Loan'!$D$40,0,0)</f>
        <v>909.54492364399164</v>
      </c>
      <c r="C175" s="4">
        <f>-IPMT('With Loan'!$D$41/12,'30% Down Amortization'!$A175,360,'With Loan'!$D$40,0,0)</f>
        <v>730.77808361307495</v>
      </c>
      <c r="D175" s="4">
        <f t="shared" si="5"/>
        <v>1640.3230072570666</v>
      </c>
      <c r="E175" s="3">
        <f t="shared" si="6"/>
        <v>232939.44183254024</v>
      </c>
    </row>
    <row r="176" spans="1:5" x14ac:dyDescent="0.25">
      <c r="A176">
        <v>173</v>
      </c>
      <c r="B176" s="4">
        <f>-PPMT('With Loan'!$D$41/12,'30% Down Amortization'!$A176,360,'With Loan'!$D$40,0,0)</f>
        <v>912.38725153037899</v>
      </c>
      <c r="C176" s="4">
        <f>-IPMT('With Loan'!$D$41/12,'30% Down Amortization'!$A176,360,'With Loan'!$D$40,0,0)</f>
        <v>727.93575572668749</v>
      </c>
      <c r="D176" s="4">
        <f t="shared" si="5"/>
        <v>1640.3230072570664</v>
      </c>
      <c r="E176" s="3">
        <f t="shared" si="6"/>
        <v>232027.05458100987</v>
      </c>
    </row>
    <row r="177" spans="1:5" x14ac:dyDescent="0.25">
      <c r="A177">
        <v>174</v>
      </c>
      <c r="B177" s="4">
        <f>-PPMT('With Loan'!$D$41/12,'30% Down Amortization'!$A177,360,'With Loan'!$D$40,0,0)</f>
        <v>915.23846169141154</v>
      </c>
      <c r="C177" s="4">
        <f>-IPMT('With Loan'!$D$41/12,'30% Down Amortization'!$A177,360,'With Loan'!$D$40,0,0)</f>
        <v>725.08454556565505</v>
      </c>
      <c r="D177" s="4">
        <f t="shared" si="5"/>
        <v>1640.3230072570666</v>
      </c>
      <c r="E177" s="3">
        <f t="shared" si="6"/>
        <v>231111.81611931845</v>
      </c>
    </row>
    <row r="178" spans="1:5" x14ac:dyDescent="0.25">
      <c r="A178">
        <v>175</v>
      </c>
      <c r="B178" s="4">
        <f>-PPMT('With Loan'!$D$41/12,'30% Down Amortization'!$A178,360,'With Loan'!$D$40,0,0)</f>
        <v>918.09858188419719</v>
      </c>
      <c r="C178" s="4">
        <f>-IPMT('With Loan'!$D$41/12,'30% Down Amortization'!$A178,360,'With Loan'!$D$40,0,0)</f>
        <v>722.22442537286929</v>
      </c>
      <c r="D178" s="4">
        <f t="shared" si="5"/>
        <v>1640.3230072570664</v>
      </c>
      <c r="E178" s="3">
        <f t="shared" si="6"/>
        <v>230193.71753743425</v>
      </c>
    </row>
    <row r="179" spans="1:5" x14ac:dyDescent="0.25">
      <c r="A179">
        <v>176</v>
      </c>
      <c r="B179" s="4">
        <f>-PPMT('With Loan'!$D$41/12,'30% Down Amortization'!$A179,360,'With Loan'!$D$40,0,0)</f>
        <v>920.96763995258505</v>
      </c>
      <c r="C179" s="4">
        <f>-IPMT('With Loan'!$D$41/12,'30% Down Amortization'!$A179,360,'With Loan'!$D$40,0,0)</f>
        <v>719.35536730448121</v>
      </c>
      <c r="D179" s="4">
        <f t="shared" si="5"/>
        <v>1640.3230072570664</v>
      </c>
      <c r="E179" s="3">
        <f t="shared" si="6"/>
        <v>229272.74989748167</v>
      </c>
    </row>
    <row r="180" spans="1:5" x14ac:dyDescent="0.25">
      <c r="A180">
        <v>177</v>
      </c>
      <c r="B180" s="4">
        <f>-PPMT('With Loan'!$D$41/12,'30% Down Amortization'!$A180,360,'With Loan'!$D$40,0,0)</f>
        <v>923.84566382743719</v>
      </c>
      <c r="C180" s="4">
        <f>-IPMT('With Loan'!$D$41/12,'30% Down Amortization'!$A180,360,'With Loan'!$D$40,0,0)</f>
        <v>716.47734342962929</v>
      </c>
      <c r="D180" s="4">
        <f t="shared" si="5"/>
        <v>1640.3230072570664</v>
      </c>
      <c r="E180" s="3">
        <f t="shared" si="6"/>
        <v>228348.90423365423</v>
      </c>
    </row>
    <row r="181" spans="1:5" x14ac:dyDescent="0.25">
      <c r="A181">
        <v>178</v>
      </c>
      <c r="B181" s="4">
        <f>-PPMT('With Loan'!$D$41/12,'30% Down Amortization'!$A181,360,'With Loan'!$D$40,0,0)</f>
        <v>926.73268152689786</v>
      </c>
      <c r="C181" s="4">
        <f>-IPMT('With Loan'!$D$41/12,'30% Down Amortization'!$A181,360,'With Loan'!$D$40,0,0)</f>
        <v>713.59032573016862</v>
      </c>
      <c r="D181" s="4">
        <f t="shared" si="5"/>
        <v>1640.3230072570664</v>
      </c>
      <c r="E181" s="3">
        <f t="shared" si="6"/>
        <v>227422.17155212734</v>
      </c>
    </row>
    <row r="182" spans="1:5" x14ac:dyDescent="0.25">
      <c r="A182">
        <v>179</v>
      </c>
      <c r="B182" s="4">
        <f>-PPMT('With Loan'!$D$41/12,'30% Down Amortization'!$A182,360,'With Loan'!$D$40,0,0)</f>
        <v>929.62872115666937</v>
      </c>
      <c r="C182" s="4">
        <f>-IPMT('With Loan'!$D$41/12,'30% Down Amortization'!$A182,360,'With Loan'!$D$40,0,0)</f>
        <v>710.69428610039711</v>
      </c>
      <c r="D182" s="4">
        <f t="shared" si="5"/>
        <v>1640.3230072570664</v>
      </c>
      <c r="E182" s="3">
        <f t="shared" si="6"/>
        <v>226492.54283097066</v>
      </c>
    </row>
    <row r="183" spans="1:5" x14ac:dyDescent="0.25">
      <c r="A183">
        <v>180</v>
      </c>
      <c r="B183" s="4">
        <f>-PPMT('With Loan'!$D$41/12,'30% Down Amortization'!$A183,360,'With Loan'!$D$40,0,0)</f>
        <v>932.53381091028393</v>
      </c>
      <c r="C183" s="4">
        <f>-IPMT('With Loan'!$D$41/12,'30% Down Amortization'!$A183,360,'With Loan'!$D$40,0,0)</f>
        <v>707.78919634678243</v>
      </c>
      <c r="D183" s="4">
        <f t="shared" si="5"/>
        <v>1640.3230072570664</v>
      </c>
      <c r="E183" s="3">
        <f t="shared" si="6"/>
        <v>225560.00902006039</v>
      </c>
    </row>
    <row r="184" spans="1:5" x14ac:dyDescent="0.25">
      <c r="A184">
        <v>181</v>
      </c>
      <c r="B184" s="4">
        <f>-PPMT('With Loan'!$D$41/12,'30% Down Amortization'!$A184,360,'With Loan'!$D$40,0,0)</f>
        <v>935.44797906937868</v>
      </c>
      <c r="C184" s="4">
        <f>-IPMT('With Loan'!$D$41/12,'30% Down Amortization'!$A184,360,'With Loan'!$D$40,0,0)</f>
        <v>704.87502818768769</v>
      </c>
      <c r="D184" s="4">
        <f t="shared" si="5"/>
        <v>1640.3230072570664</v>
      </c>
      <c r="E184" s="3">
        <f t="shared" si="6"/>
        <v>224624.56104099102</v>
      </c>
    </row>
    <row r="185" spans="1:5" x14ac:dyDescent="0.25">
      <c r="A185">
        <v>182</v>
      </c>
      <c r="B185" s="4">
        <f>-PPMT('With Loan'!$D$41/12,'30% Down Amortization'!$A185,360,'With Loan'!$D$40,0,0)</f>
        <v>938.37125400397031</v>
      </c>
      <c r="C185" s="4">
        <f>-IPMT('With Loan'!$D$41/12,'30% Down Amortization'!$A185,360,'With Loan'!$D$40,0,0)</f>
        <v>701.95175325309606</v>
      </c>
      <c r="D185" s="4">
        <f t="shared" si="5"/>
        <v>1640.3230072570664</v>
      </c>
      <c r="E185" s="3">
        <f t="shared" si="6"/>
        <v>223686.18978698706</v>
      </c>
    </row>
    <row r="186" spans="1:5" x14ac:dyDescent="0.25">
      <c r="A186">
        <v>183</v>
      </c>
      <c r="B186" s="4">
        <f>-PPMT('With Loan'!$D$41/12,'30% Down Amortization'!$A186,360,'With Loan'!$D$40,0,0)</f>
        <v>941.30366417273285</v>
      </c>
      <c r="C186" s="4">
        <f>-IPMT('With Loan'!$D$41/12,'30% Down Amortization'!$A186,360,'With Loan'!$D$40,0,0)</f>
        <v>699.01934308433363</v>
      </c>
      <c r="D186" s="4">
        <f t="shared" si="5"/>
        <v>1640.3230072570664</v>
      </c>
      <c r="E186" s="3">
        <f t="shared" si="6"/>
        <v>222744.88612281432</v>
      </c>
    </row>
    <row r="187" spans="1:5" x14ac:dyDescent="0.25">
      <c r="A187">
        <v>184</v>
      </c>
      <c r="B187" s="4">
        <f>-PPMT('With Loan'!$D$41/12,'30% Down Amortization'!$A187,360,'With Loan'!$D$40,0,0)</f>
        <v>944.24523812327277</v>
      </c>
      <c r="C187" s="4">
        <f>-IPMT('With Loan'!$D$41/12,'30% Down Amortization'!$A187,360,'With Loan'!$D$40,0,0)</f>
        <v>696.07776913379394</v>
      </c>
      <c r="D187" s="4">
        <f t="shared" si="5"/>
        <v>1640.3230072570668</v>
      </c>
      <c r="E187" s="3">
        <f t="shared" si="6"/>
        <v>221800.64088469103</v>
      </c>
    </row>
    <row r="188" spans="1:5" x14ac:dyDescent="0.25">
      <c r="A188">
        <v>185</v>
      </c>
      <c r="B188" s="4">
        <f>-PPMT('With Loan'!$D$41/12,'30% Down Amortization'!$A188,360,'With Loan'!$D$40,0,0)</f>
        <v>947.19600449240795</v>
      </c>
      <c r="C188" s="4">
        <f>-IPMT('With Loan'!$D$41/12,'30% Down Amortization'!$A188,360,'With Loan'!$D$40,0,0)</f>
        <v>693.12700276465876</v>
      </c>
      <c r="D188" s="4">
        <f t="shared" si="5"/>
        <v>1640.3230072570668</v>
      </c>
      <c r="E188" s="3">
        <f t="shared" si="6"/>
        <v>220853.44488019863</v>
      </c>
    </row>
    <row r="189" spans="1:5" x14ac:dyDescent="0.25">
      <c r="A189">
        <v>186</v>
      </c>
      <c r="B189" s="4">
        <f>-PPMT('With Loan'!$D$41/12,'30% Down Amortization'!$A189,360,'With Loan'!$D$40,0,0)</f>
        <v>950.15599200644681</v>
      </c>
      <c r="C189" s="4">
        <f>-IPMT('With Loan'!$D$41/12,'30% Down Amortization'!$A189,360,'With Loan'!$D$40,0,0)</f>
        <v>690.16701525061978</v>
      </c>
      <c r="D189" s="4">
        <f t="shared" si="5"/>
        <v>1640.3230072570666</v>
      </c>
      <c r="E189" s="3">
        <f t="shared" si="6"/>
        <v>219903.28888819218</v>
      </c>
    </row>
    <row r="190" spans="1:5" x14ac:dyDescent="0.25">
      <c r="A190">
        <v>187</v>
      </c>
      <c r="B190" s="4">
        <f>-PPMT('With Loan'!$D$41/12,'30% Down Amortization'!$A190,360,'With Loan'!$D$40,0,0)</f>
        <v>953.12522948146659</v>
      </c>
      <c r="C190" s="4">
        <f>-IPMT('With Loan'!$D$41/12,'30% Down Amortization'!$A190,360,'With Loan'!$D$40,0,0)</f>
        <v>687.19777777559977</v>
      </c>
      <c r="D190" s="4">
        <f t="shared" si="5"/>
        <v>1640.3230072570664</v>
      </c>
      <c r="E190" s="3">
        <f t="shared" si="6"/>
        <v>218950.16365871072</v>
      </c>
    </row>
    <row r="191" spans="1:5" x14ac:dyDescent="0.25">
      <c r="A191">
        <v>188</v>
      </c>
      <c r="B191" s="4">
        <f>-PPMT('With Loan'!$D$41/12,'30% Down Amortization'!$A191,360,'With Loan'!$D$40,0,0)</f>
        <v>956.10374582359623</v>
      </c>
      <c r="C191" s="4">
        <f>-IPMT('With Loan'!$D$41/12,'30% Down Amortization'!$A191,360,'With Loan'!$D$40,0,0)</f>
        <v>684.21926143347002</v>
      </c>
      <c r="D191" s="4">
        <f t="shared" si="5"/>
        <v>1640.3230072570664</v>
      </c>
      <c r="E191" s="3">
        <f t="shared" si="6"/>
        <v>217994.05991288711</v>
      </c>
    </row>
    <row r="192" spans="1:5" x14ac:dyDescent="0.25">
      <c r="A192">
        <v>189</v>
      </c>
      <c r="B192" s="4">
        <f>-PPMT('With Loan'!$D$41/12,'30% Down Amortization'!$A192,360,'With Loan'!$D$40,0,0)</f>
        <v>959.0915700292951</v>
      </c>
      <c r="C192" s="4">
        <f>-IPMT('With Loan'!$D$41/12,'30% Down Amortization'!$A192,360,'With Loan'!$D$40,0,0)</f>
        <v>681.23143722777138</v>
      </c>
      <c r="D192" s="4">
        <f t="shared" si="5"/>
        <v>1640.3230072570664</v>
      </c>
      <c r="E192" s="3">
        <f t="shared" si="6"/>
        <v>217034.96834285781</v>
      </c>
    </row>
    <row r="193" spans="1:5" x14ac:dyDescent="0.25">
      <c r="A193">
        <v>190</v>
      </c>
      <c r="B193" s="4">
        <f>-PPMT('With Loan'!$D$41/12,'30% Down Amortization'!$A193,360,'With Loan'!$D$40,0,0)</f>
        <v>962.08873118563668</v>
      </c>
      <c r="C193" s="4">
        <f>-IPMT('With Loan'!$D$41/12,'30% Down Amortization'!$A193,360,'With Loan'!$D$40,0,0)</f>
        <v>678.23427607142992</v>
      </c>
      <c r="D193" s="4">
        <f t="shared" si="5"/>
        <v>1640.3230072570666</v>
      </c>
      <c r="E193" s="3">
        <f t="shared" si="6"/>
        <v>216072.87961167216</v>
      </c>
    </row>
    <row r="194" spans="1:5" x14ac:dyDescent="0.25">
      <c r="A194">
        <v>191</v>
      </c>
      <c r="B194" s="4">
        <f>-PPMT('With Loan'!$D$41/12,'30% Down Amortization'!$A194,360,'With Loan'!$D$40,0,0)</f>
        <v>965.09525847059172</v>
      </c>
      <c r="C194" s="4">
        <f>-IPMT('With Loan'!$D$41/12,'30% Down Amortization'!$A194,360,'With Loan'!$D$40,0,0)</f>
        <v>675.22774878647488</v>
      </c>
      <c r="D194" s="4">
        <f t="shared" si="5"/>
        <v>1640.3230072570666</v>
      </c>
      <c r="E194" s="3">
        <f t="shared" si="6"/>
        <v>215107.78435320157</v>
      </c>
    </row>
    <row r="195" spans="1:5" x14ac:dyDescent="0.25">
      <c r="A195">
        <v>192</v>
      </c>
      <c r="B195" s="4">
        <f>-PPMT('With Loan'!$D$41/12,'30% Down Amortization'!$A195,360,'With Loan'!$D$40,0,0)</f>
        <v>968.11118115331237</v>
      </c>
      <c r="C195" s="4">
        <f>-IPMT('With Loan'!$D$41/12,'30% Down Amortization'!$A195,360,'With Loan'!$D$40,0,0)</f>
        <v>672.21182610375411</v>
      </c>
      <c r="D195" s="4">
        <f t="shared" si="5"/>
        <v>1640.3230072570664</v>
      </c>
      <c r="E195" s="3">
        <f t="shared" si="6"/>
        <v>214139.67317204826</v>
      </c>
    </row>
    <row r="196" spans="1:5" x14ac:dyDescent="0.25">
      <c r="A196">
        <v>193</v>
      </c>
      <c r="B196" s="4">
        <f>-PPMT('With Loan'!$D$41/12,'30% Down Amortization'!$A196,360,'With Loan'!$D$40,0,0)</f>
        <v>971.1365285944164</v>
      </c>
      <c r="C196" s="4">
        <f>-IPMT('With Loan'!$D$41/12,'30% Down Amortization'!$A196,360,'With Loan'!$D$40,0,0)</f>
        <v>669.18647866265019</v>
      </c>
      <c r="D196" s="4">
        <f t="shared" si="5"/>
        <v>1640.3230072570666</v>
      </c>
      <c r="E196" s="3">
        <f t="shared" si="6"/>
        <v>213168.53664345384</v>
      </c>
    </row>
    <row r="197" spans="1:5" x14ac:dyDescent="0.25">
      <c r="A197">
        <v>194</v>
      </c>
      <c r="B197" s="4">
        <f>-PPMT('With Loan'!$D$41/12,'30% Down Amortization'!$A197,360,'With Loan'!$D$40,0,0)</f>
        <v>974.1713302462739</v>
      </c>
      <c r="C197" s="4">
        <f>-IPMT('With Loan'!$D$41/12,'30% Down Amortization'!$A197,360,'With Loan'!$D$40,0,0)</f>
        <v>666.15167701079247</v>
      </c>
      <c r="D197" s="4">
        <f t="shared" ref="D197:D260" si="7">B197+C197</f>
        <v>1640.3230072570664</v>
      </c>
      <c r="E197" s="3">
        <f t="shared" si="6"/>
        <v>212194.36531320759</v>
      </c>
    </row>
    <row r="198" spans="1:5" x14ac:dyDescent="0.25">
      <c r="A198">
        <v>195</v>
      </c>
      <c r="B198" s="4">
        <f>-PPMT('With Loan'!$D$41/12,'30% Down Amortization'!$A198,360,'With Loan'!$D$40,0,0)</f>
        <v>977.21561565329364</v>
      </c>
      <c r="C198" s="4">
        <f>-IPMT('With Loan'!$D$41/12,'30% Down Amortization'!$A198,360,'With Loan'!$D$40,0,0)</f>
        <v>663.10739160377284</v>
      </c>
      <c r="D198" s="4">
        <f t="shared" si="7"/>
        <v>1640.3230072570664</v>
      </c>
      <c r="E198" s="3">
        <f t="shared" si="6"/>
        <v>211217.1496975543</v>
      </c>
    </row>
    <row r="199" spans="1:5" x14ac:dyDescent="0.25">
      <c r="A199">
        <v>196</v>
      </c>
      <c r="B199" s="4">
        <f>-PPMT('With Loan'!$D$41/12,'30% Down Amortization'!$A199,360,'With Loan'!$D$40,0,0)</f>
        <v>980.26941445221007</v>
      </c>
      <c r="C199" s="4">
        <f>-IPMT('With Loan'!$D$41/12,'30% Down Amortization'!$A199,360,'With Loan'!$D$40,0,0)</f>
        <v>660.05359280485629</v>
      </c>
      <c r="D199" s="4">
        <f t="shared" si="7"/>
        <v>1640.3230072570664</v>
      </c>
      <c r="E199" s="3">
        <f t="shared" si="6"/>
        <v>210236.8802831021</v>
      </c>
    </row>
    <row r="200" spans="1:5" x14ac:dyDescent="0.25">
      <c r="A200">
        <v>197</v>
      </c>
      <c r="B200" s="4">
        <f>-PPMT('With Loan'!$D$41/12,'30% Down Amortization'!$A200,360,'With Loan'!$D$40,0,0)</f>
        <v>983.33275637237318</v>
      </c>
      <c r="C200" s="4">
        <f>-IPMT('With Loan'!$D$41/12,'30% Down Amortization'!$A200,360,'With Loan'!$D$40,0,0)</f>
        <v>656.99025088469318</v>
      </c>
      <c r="D200" s="4">
        <f t="shared" si="7"/>
        <v>1640.3230072570664</v>
      </c>
      <c r="E200" s="3">
        <f t="shared" si="6"/>
        <v>209253.54752672973</v>
      </c>
    </row>
    <row r="201" spans="1:5" x14ac:dyDescent="0.25">
      <c r="A201">
        <v>198</v>
      </c>
      <c r="B201" s="4">
        <f>-PPMT('With Loan'!$D$41/12,'30% Down Amortization'!$A201,360,'With Loan'!$D$40,0,0)</f>
        <v>986.40567123603694</v>
      </c>
      <c r="C201" s="4">
        <f>-IPMT('With Loan'!$D$41/12,'30% Down Amortization'!$A201,360,'With Loan'!$D$40,0,0)</f>
        <v>653.91733602102954</v>
      </c>
      <c r="D201" s="4">
        <f t="shared" si="7"/>
        <v>1640.3230072570664</v>
      </c>
      <c r="E201" s="3">
        <f t="shared" si="6"/>
        <v>208267.14185549368</v>
      </c>
    </row>
    <row r="202" spans="1:5" x14ac:dyDescent="0.25">
      <c r="A202">
        <v>199</v>
      </c>
      <c r="B202" s="4">
        <f>-PPMT('With Loan'!$D$41/12,'30% Down Amortization'!$A202,360,'With Loan'!$D$40,0,0)</f>
        <v>989.48818895864963</v>
      </c>
      <c r="C202" s="4">
        <f>-IPMT('With Loan'!$D$41/12,'30% Down Amortization'!$A202,360,'With Loan'!$D$40,0,0)</f>
        <v>650.83481829841685</v>
      </c>
      <c r="D202" s="4">
        <f t="shared" si="7"/>
        <v>1640.3230072570664</v>
      </c>
      <c r="E202" s="3">
        <f t="shared" si="6"/>
        <v>207277.65366653504</v>
      </c>
    </row>
    <row r="203" spans="1:5" x14ac:dyDescent="0.25">
      <c r="A203">
        <v>200</v>
      </c>
      <c r="B203" s="4">
        <f>-PPMT('With Loan'!$D$41/12,'30% Down Amortization'!$A203,360,'With Loan'!$D$40,0,0)</f>
        <v>992.58033954914549</v>
      </c>
      <c r="C203" s="4">
        <f>-IPMT('With Loan'!$D$41/12,'30% Down Amortization'!$A203,360,'With Loan'!$D$40,0,0)</f>
        <v>647.7426677079211</v>
      </c>
      <c r="D203" s="4">
        <f t="shared" si="7"/>
        <v>1640.3230072570666</v>
      </c>
      <c r="E203" s="3">
        <f t="shared" si="6"/>
        <v>206285.0733269859</v>
      </c>
    </row>
    <row r="204" spans="1:5" x14ac:dyDescent="0.25">
      <c r="A204">
        <v>201</v>
      </c>
      <c r="B204" s="4">
        <f>-PPMT('With Loan'!$D$41/12,'30% Down Amortization'!$A204,360,'With Loan'!$D$40,0,0)</f>
        <v>995.68215311023641</v>
      </c>
      <c r="C204" s="4">
        <f>-IPMT('With Loan'!$D$41/12,'30% Down Amortization'!$A204,360,'With Loan'!$D$40,0,0)</f>
        <v>644.64085414683007</v>
      </c>
      <c r="D204" s="4">
        <f t="shared" si="7"/>
        <v>1640.3230072570664</v>
      </c>
      <c r="E204" s="3">
        <f t="shared" si="6"/>
        <v>205289.39117387566</v>
      </c>
    </row>
    <row r="205" spans="1:5" x14ac:dyDescent="0.25">
      <c r="A205">
        <v>202</v>
      </c>
      <c r="B205" s="4">
        <f>-PPMT('With Loan'!$D$41/12,'30% Down Amortization'!$A205,360,'With Loan'!$D$40,0,0)</f>
        <v>998.79365983870605</v>
      </c>
      <c r="C205" s="4">
        <f>-IPMT('With Loan'!$D$41/12,'30% Down Amortization'!$A205,360,'With Loan'!$D$40,0,0)</f>
        <v>641.52934741836043</v>
      </c>
      <c r="D205" s="4">
        <f t="shared" si="7"/>
        <v>1640.3230072570664</v>
      </c>
      <c r="E205" s="3">
        <f t="shared" si="6"/>
        <v>204290.59751403696</v>
      </c>
    </row>
    <row r="206" spans="1:5" x14ac:dyDescent="0.25">
      <c r="A206">
        <v>203</v>
      </c>
      <c r="B206" s="4">
        <f>-PPMT('With Loan'!$D$41/12,'30% Down Amortization'!$A206,360,'With Loan'!$D$40,0,0)</f>
        <v>1001.9148900257019</v>
      </c>
      <c r="C206" s="4">
        <f>-IPMT('With Loan'!$D$41/12,'30% Down Amortization'!$A206,360,'With Loan'!$D$40,0,0)</f>
        <v>638.40811723136449</v>
      </c>
      <c r="D206" s="4">
        <f t="shared" si="7"/>
        <v>1640.3230072570664</v>
      </c>
      <c r="E206" s="3">
        <f t="shared" si="6"/>
        <v>203288.68262401124</v>
      </c>
    </row>
    <row r="207" spans="1:5" x14ac:dyDescent="0.25">
      <c r="A207">
        <v>204</v>
      </c>
      <c r="B207" s="4">
        <f>-PPMT('With Loan'!$D$41/12,'30% Down Amortization'!$A207,360,'With Loan'!$D$40,0,0)</f>
        <v>1005.0458740570322</v>
      </c>
      <c r="C207" s="4">
        <f>-IPMT('With Loan'!$D$41/12,'30% Down Amortization'!$A207,360,'With Loan'!$D$40,0,0)</f>
        <v>635.27713320003431</v>
      </c>
      <c r="D207" s="4">
        <f t="shared" si="7"/>
        <v>1640.3230072570664</v>
      </c>
      <c r="E207" s="3">
        <f t="shared" si="6"/>
        <v>202283.6367499542</v>
      </c>
    </row>
    <row r="208" spans="1:5" x14ac:dyDescent="0.25">
      <c r="A208">
        <v>205</v>
      </c>
      <c r="B208" s="4">
        <f>-PPMT('With Loan'!$D$41/12,'30% Down Amortization'!$A208,360,'With Loan'!$D$40,0,0)</f>
        <v>1008.1866424134604</v>
      </c>
      <c r="C208" s="4">
        <f>-IPMT('With Loan'!$D$41/12,'30% Down Amortization'!$A208,360,'With Loan'!$D$40,0,0)</f>
        <v>632.13636484360597</v>
      </c>
      <c r="D208" s="4">
        <f t="shared" si="7"/>
        <v>1640.3230072570664</v>
      </c>
      <c r="E208" s="3">
        <f t="shared" si="6"/>
        <v>201275.45010754073</v>
      </c>
    </row>
    <row r="209" spans="1:5" x14ac:dyDescent="0.25">
      <c r="A209">
        <v>206</v>
      </c>
      <c r="B209" s="4">
        <f>-PPMT('With Loan'!$D$41/12,'30% Down Amortization'!$A209,360,'With Loan'!$D$40,0,0)</f>
        <v>1011.3372256710026</v>
      </c>
      <c r="C209" s="4">
        <f>-IPMT('With Loan'!$D$41/12,'30% Down Amortization'!$A209,360,'With Loan'!$D$40,0,0)</f>
        <v>628.98578158606415</v>
      </c>
      <c r="D209" s="4">
        <f t="shared" si="7"/>
        <v>1640.3230072570668</v>
      </c>
      <c r="E209" s="3">
        <f t="shared" si="6"/>
        <v>200264.11288186972</v>
      </c>
    </row>
    <row r="210" spans="1:5" x14ac:dyDescent="0.25">
      <c r="A210">
        <v>207</v>
      </c>
      <c r="B210" s="4">
        <f>-PPMT('With Loan'!$D$41/12,'30% Down Amortization'!$A210,360,'With Loan'!$D$40,0,0)</f>
        <v>1014.4976545012244</v>
      </c>
      <c r="C210" s="4">
        <f>-IPMT('With Loan'!$D$41/12,'30% Down Amortization'!$A210,360,'With Loan'!$D$40,0,0)</f>
        <v>625.82535275584212</v>
      </c>
      <c r="D210" s="4">
        <f t="shared" si="7"/>
        <v>1640.3230072570664</v>
      </c>
      <c r="E210" s="3">
        <f t="shared" si="6"/>
        <v>199249.61522736849</v>
      </c>
    </row>
    <row r="211" spans="1:5" x14ac:dyDescent="0.25">
      <c r="A211">
        <v>208</v>
      </c>
      <c r="B211" s="4">
        <f>-PPMT('With Loan'!$D$41/12,'30% Down Amortization'!$A211,360,'With Loan'!$D$40,0,0)</f>
        <v>1017.6679596715408</v>
      </c>
      <c r="C211" s="4">
        <f>-IPMT('With Loan'!$D$41/12,'30% Down Amortization'!$A211,360,'With Loan'!$D$40,0,0)</f>
        <v>622.65504758552595</v>
      </c>
      <c r="D211" s="4">
        <f t="shared" si="7"/>
        <v>1640.3230072570668</v>
      </c>
      <c r="E211" s="3">
        <f t="shared" si="6"/>
        <v>198231.94726769693</v>
      </c>
    </row>
    <row r="212" spans="1:5" x14ac:dyDescent="0.25">
      <c r="A212">
        <v>209</v>
      </c>
      <c r="B212" s="4">
        <f>-PPMT('With Loan'!$D$41/12,'30% Down Amortization'!$A212,360,'With Loan'!$D$40,0,0)</f>
        <v>1020.8481720455145</v>
      </c>
      <c r="C212" s="4">
        <f>-IPMT('With Loan'!$D$41/12,'30% Down Amortization'!$A212,360,'With Loan'!$D$40,0,0)</f>
        <v>619.4748352115522</v>
      </c>
      <c r="D212" s="4">
        <f t="shared" si="7"/>
        <v>1640.3230072570668</v>
      </c>
      <c r="E212" s="3">
        <f t="shared" si="6"/>
        <v>197211.09909565141</v>
      </c>
    </row>
    <row r="213" spans="1:5" x14ac:dyDescent="0.25">
      <c r="A213">
        <v>210</v>
      </c>
      <c r="B213" s="4">
        <f>-PPMT('With Loan'!$D$41/12,'30% Down Amortization'!$A213,360,'With Loan'!$D$40,0,0)</f>
        <v>1024.0383225831565</v>
      </c>
      <c r="C213" s="4">
        <f>-IPMT('With Loan'!$D$41/12,'30% Down Amortization'!$A213,360,'With Loan'!$D$40,0,0)</f>
        <v>616.28468467390985</v>
      </c>
      <c r="D213" s="4">
        <f t="shared" si="7"/>
        <v>1640.3230072570664</v>
      </c>
      <c r="E213" s="3">
        <f t="shared" si="6"/>
        <v>196187.06077306825</v>
      </c>
    </row>
    <row r="214" spans="1:5" x14ac:dyDescent="0.25">
      <c r="A214">
        <v>211</v>
      </c>
      <c r="B214" s="4">
        <f>-PPMT('With Loan'!$D$41/12,'30% Down Amortization'!$A214,360,'With Loan'!$D$40,0,0)</f>
        <v>1027.2384423412288</v>
      </c>
      <c r="C214" s="4">
        <f>-IPMT('With Loan'!$D$41/12,'30% Down Amortization'!$A214,360,'With Loan'!$D$40,0,0)</f>
        <v>613.08456491583763</v>
      </c>
      <c r="D214" s="4">
        <f t="shared" si="7"/>
        <v>1640.3230072570664</v>
      </c>
      <c r="E214" s="3">
        <f t="shared" si="6"/>
        <v>195159.82233072704</v>
      </c>
    </row>
    <row r="215" spans="1:5" x14ac:dyDescent="0.25">
      <c r="A215">
        <v>212</v>
      </c>
      <c r="B215" s="4">
        <f>-PPMT('With Loan'!$D$41/12,'30% Down Amortization'!$A215,360,'With Loan'!$D$40,0,0)</f>
        <v>1030.4485624735453</v>
      </c>
      <c r="C215" s="4">
        <f>-IPMT('With Loan'!$D$41/12,'30% Down Amortization'!$A215,360,'With Loan'!$D$40,0,0)</f>
        <v>609.8744447835212</v>
      </c>
      <c r="D215" s="4">
        <f t="shared" si="7"/>
        <v>1640.3230072570664</v>
      </c>
      <c r="E215" s="3">
        <f t="shared" si="6"/>
        <v>194129.37376825348</v>
      </c>
    </row>
    <row r="216" spans="1:5" x14ac:dyDescent="0.25">
      <c r="A216">
        <v>213</v>
      </c>
      <c r="B216" s="4">
        <f>-PPMT('With Loan'!$D$41/12,'30% Down Amortization'!$A216,360,'With Loan'!$D$40,0,0)</f>
        <v>1033.6687142312751</v>
      </c>
      <c r="C216" s="4">
        <f>-IPMT('With Loan'!$D$41/12,'30% Down Amortization'!$A216,360,'With Loan'!$D$40,0,0)</f>
        <v>606.6542930257915</v>
      </c>
      <c r="D216" s="4">
        <f t="shared" si="7"/>
        <v>1640.3230072570666</v>
      </c>
      <c r="E216" s="3">
        <f t="shared" si="6"/>
        <v>193095.7050540222</v>
      </c>
    </row>
    <row r="217" spans="1:5" x14ac:dyDescent="0.25">
      <c r="A217">
        <v>214</v>
      </c>
      <c r="B217" s="4">
        <f>-PPMT('With Loan'!$D$41/12,'30% Down Amortization'!$A217,360,'With Loan'!$D$40,0,0)</f>
        <v>1036.8989289632477</v>
      </c>
      <c r="C217" s="4">
        <f>-IPMT('With Loan'!$D$41/12,'30% Down Amortization'!$A217,360,'With Loan'!$D$40,0,0)</f>
        <v>603.42407829381875</v>
      </c>
      <c r="D217" s="4">
        <f t="shared" si="7"/>
        <v>1640.3230072570664</v>
      </c>
      <c r="E217" s="3">
        <f t="shared" si="6"/>
        <v>192058.80612505894</v>
      </c>
    </row>
    <row r="218" spans="1:5" x14ac:dyDescent="0.25">
      <c r="A218">
        <v>215</v>
      </c>
      <c r="B218" s="4">
        <f>-PPMT('With Loan'!$D$41/12,'30% Down Amortization'!$A218,360,'With Loan'!$D$40,0,0)</f>
        <v>1040.139238116258</v>
      </c>
      <c r="C218" s="4">
        <f>-IPMT('With Loan'!$D$41/12,'30% Down Amortization'!$A218,360,'With Loan'!$D$40,0,0)</f>
        <v>600.18376914080852</v>
      </c>
      <c r="D218" s="4">
        <f t="shared" si="7"/>
        <v>1640.3230072570664</v>
      </c>
      <c r="E218" s="3">
        <f t="shared" si="6"/>
        <v>191018.66688694269</v>
      </c>
    </row>
    <row r="219" spans="1:5" x14ac:dyDescent="0.25">
      <c r="A219">
        <v>216</v>
      </c>
      <c r="B219" s="4">
        <f>-PPMT('With Loan'!$D$41/12,'30% Down Amortization'!$A219,360,'With Loan'!$D$40,0,0)</f>
        <v>1043.3896732353712</v>
      </c>
      <c r="C219" s="4">
        <f>-IPMT('With Loan'!$D$41/12,'30% Down Amortization'!$A219,360,'With Loan'!$D$40,0,0)</f>
        <v>596.93333402169526</v>
      </c>
      <c r="D219" s="4">
        <f t="shared" si="7"/>
        <v>1640.3230072570664</v>
      </c>
      <c r="E219" s="3">
        <f t="shared" si="6"/>
        <v>189975.27721370733</v>
      </c>
    </row>
    <row r="220" spans="1:5" x14ac:dyDescent="0.25">
      <c r="A220">
        <v>217</v>
      </c>
      <c r="B220" s="4">
        <f>-PPMT('With Loan'!$D$41/12,'30% Down Amortization'!$A220,360,'With Loan'!$D$40,0,0)</f>
        <v>1046.6502659642319</v>
      </c>
      <c r="C220" s="4">
        <f>-IPMT('With Loan'!$D$41/12,'30% Down Amortization'!$A220,360,'With Loan'!$D$40,0,0)</f>
        <v>593.67274129283476</v>
      </c>
      <c r="D220" s="4">
        <f t="shared" si="7"/>
        <v>1640.3230072570668</v>
      </c>
      <c r="E220" s="3">
        <f t="shared" si="6"/>
        <v>188928.62694774309</v>
      </c>
    </row>
    <row r="221" spans="1:5" x14ac:dyDescent="0.25">
      <c r="A221">
        <v>218</v>
      </c>
      <c r="B221" s="4">
        <f>-PPMT('With Loan'!$D$41/12,'30% Down Amortization'!$A221,360,'With Loan'!$D$40,0,0)</f>
        <v>1049.9210480453701</v>
      </c>
      <c r="C221" s="4">
        <f>-IPMT('With Loan'!$D$41/12,'30% Down Amortization'!$A221,360,'With Loan'!$D$40,0,0)</f>
        <v>590.40195921169652</v>
      </c>
      <c r="D221" s="4">
        <f t="shared" si="7"/>
        <v>1640.3230072570666</v>
      </c>
      <c r="E221" s="3">
        <f t="shared" si="6"/>
        <v>187878.70589969773</v>
      </c>
    </row>
    <row r="222" spans="1:5" x14ac:dyDescent="0.25">
      <c r="A222">
        <v>219</v>
      </c>
      <c r="B222" s="4">
        <f>-PPMT('With Loan'!$D$41/12,'30% Down Amortization'!$A222,360,'With Loan'!$D$40,0,0)</f>
        <v>1053.2020513205118</v>
      </c>
      <c r="C222" s="4">
        <f>-IPMT('With Loan'!$D$41/12,'30% Down Amortization'!$A222,360,'With Loan'!$D$40,0,0)</f>
        <v>587.12095593655476</v>
      </c>
      <c r="D222" s="4">
        <f t="shared" si="7"/>
        <v>1640.3230072570666</v>
      </c>
      <c r="E222" s="3">
        <f t="shared" si="6"/>
        <v>186825.50384837721</v>
      </c>
    </row>
    <row r="223" spans="1:5" x14ac:dyDescent="0.25">
      <c r="A223">
        <v>220</v>
      </c>
      <c r="B223" s="4">
        <f>-PPMT('With Loan'!$D$41/12,'30% Down Amortization'!$A223,360,'With Loan'!$D$40,0,0)</f>
        <v>1056.4933077308883</v>
      </c>
      <c r="C223" s="4">
        <f>-IPMT('With Loan'!$D$41/12,'30% Down Amortization'!$A223,360,'With Loan'!$D$40,0,0)</f>
        <v>583.82969952617805</v>
      </c>
      <c r="D223" s="4">
        <f t="shared" si="7"/>
        <v>1640.3230072570664</v>
      </c>
      <c r="E223" s="3">
        <f t="shared" si="6"/>
        <v>185769.01054064633</v>
      </c>
    </row>
    <row r="224" spans="1:5" x14ac:dyDescent="0.25">
      <c r="A224">
        <v>221</v>
      </c>
      <c r="B224" s="4">
        <f>-PPMT('With Loan'!$D$41/12,'30% Down Amortization'!$A224,360,'With Loan'!$D$40,0,0)</f>
        <v>1059.7948493175472</v>
      </c>
      <c r="C224" s="4">
        <f>-IPMT('With Loan'!$D$41/12,'30% Down Amortization'!$A224,360,'With Loan'!$D$40,0,0)</f>
        <v>580.52815793951902</v>
      </c>
      <c r="D224" s="4">
        <f t="shared" si="7"/>
        <v>1640.3230072570664</v>
      </c>
      <c r="E224" s="3">
        <f t="shared" si="6"/>
        <v>184709.21569132878</v>
      </c>
    </row>
    <row r="225" spans="1:5" x14ac:dyDescent="0.25">
      <c r="A225">
        <v>222</v>
      </c>
      <c r="B225" s="4">
        <f>-PPMT('With Loan'!$D$41/12,'30% Down Amortization'!$A225,360,'With Loan'!$D$40,0,0)</f>
        <v>1063.1067082216648</v>
      </c>
      <c r="C225" s="4">
        <f>-IPMT('With Loan'!$D$41/12,'30% Down Amortization'!$A225,360,'With Loan'!$D$40,0,0)</f>
        <v>577.21629903540168</v>
      </c>
      <c r="D225" s="4">
        <f t="shared" si="7"/>
        <v>1640.3230072570664</v>
      </c>
      <c r="E225" s="3">
        <f t="shared" si="6"/>
        <v>183646.10898310711</v>
      </c>
    </row>
    <row r="226" spans="1:5" x14ac:dyDescent="0.25">
      <c r="A226">
        <v>223</v>
      </c>
      <c r="B226" s="4">
        <f>-PPMT('With Loan'!$D$41/12,'30% Down Amortization'!$A226,360,'With Loan'!$D$40,0,0)</f>
        <v>1066.4289166848575</v>
      </c>
      <c r="C226" s="4">
        <f>-IPMT('With Loan'!$D$41/12,'30% Down Amortization'!$A226,360,'With Loan'!$D$40,0,0)</f>
        <v>573.89409057220905</v>
      </c>
      <c r="D226" s="4">
        <f t="shared" si="7"/>
        <v>1640.3230072570666</v>
      </c>
      <c r="E226" s="3">
        <f t="shared" ref="E226:E289" si="8">E225-B226</f>
        <v>182579.68006642227</v>
      </c>
    </row>
    <row r="227" spans="1:5" x14ac:dyDescent="0.25">
      <c r="A227">
        <v>224</v>
      </c>
      <c r="B227" s="4">
        <f>-PPMT('With Loan'!$D$41/12,'30% Down Amortization'!$A227,360,'With Loan'!$D$40,0,0)</f>
        <v>1069.7615070494976</v>
      </c>
      <c r="C227" s="4">
        <f>-IPMT('With Loan'!$D$41/12,'30% Down Amortization'!$A227,360,'With Loan'!$D$40,0,0)</f>
        <v>570.56150020756877</v>
      </c>
      <c r="D227" s="4">
        <f t="shared" si="7"/>
        <v>1640.3230072570664</v>
      </c>
      <c r="E227" s="3">
        <f t="shared" si="8"/>
        <v>181509.91855937277</v>
      </c>
    </row>
    <row r="228" spans="1:5" x14ac:dyDescent="0.25">
      <c r="A228">
        <v>225</v>
      </c>
      <c r="B228" s="4">
        <f>-PPMT('With Loan'!$D$41/12,'30% Down Amortization'!$A228,360,'With Loan'!$D$40,0,0)</f>
        <v>1073.1045117590274</v>
      </c>
      <c r="C228" s="4">
        <f>-IPMT('With Loan'!$D$41/12,'30% Down Amortization'!$A228,360,'With Loan'!$D$40,0,0)</f>
        <v>567.21849549803915</v>
      </c>
      <c r="D228" s="4">
        <f t="shared" si="7"/>
        <v>1640.3230072570666</v>
      </c>
      <c r="E228" s="3">
        <f t="shared" si="8"/>
        <v>180436.81404761373</v>
      </c>
    </row>
    <row r="229" spans="1:5" x14ac:dyDescent="0.25">
      <c r="A229">
        <v>226</v>
      </c>
      <c r="B229" s="4">
        <f>-PPMT('With Loan'!$D$41/12,'30% Down Amortization'!$A229,360,'With Loan'!$D$40,0,0)</f>
        <v>1076.4579633582744</v>
      </c>
      <c r="C229" s="4">
        <f>-IPMT('With Loan'!$D$41/12,'30% Down Amortization'!$A229,360,'With Loan'!$D$40,0,0)</f>
        <v>563.86504389879224</v>
      </c>
      <c r="D229" s="4">
        <f t="shared" si="7"/>
        <v>1640.3230072570666</v>
      </c>
      <c r="E229" s="3">
        <f t="shared" si="8"/>
        <v>179360.35608425547</v>
      </c>
    </row>
    <row r="230" spans="1:5" x14ac:dyDescent="0.25">
      <c r="A230">
        <v>227</v>
      </c>
      <c r="B230" s="4">
        <f>-PPMT('With Loan'!$D$41/12,'30% Down Amortization'!$A230,360,'With Loan'!$D$40,0,0)</f>
        <v>1079.8218944937689</v>
      </c>
      <c r="C230" s="4">
        <f>-IPMT('With Loan'!$D$41/12,'30% Down Amortization'!$A230,360,'With Loan'!$D$40,0,0)</f>
        <v>560.50111276329756</v>
      </c>
      <c r="D230" s="4">
        <f t="shared" si="7"/>
        <v>1640.3230072570664</v>
      </c>
      <c r="E230" s="3">
        <f t="shared" si="8"/>
        <v>178280.5341897617</v>
      </c>
    </row>
    <row r="231" spans="1:5" x14ac:dyDescent="0.25">
      <c r="A231">
        <v>228</v>
      </c>
      <c r="B231" s="4">
        <f>-PPMT('With Loan'!$D$41/12,'30% Down Amortization'!$A231,360,'With Loan'!$D$40,0,0)</f>
        <v>1083.1963379140618</v>
      </c>
      <c r="C231" s="4">
        <f>-IPMT('With Loan'!$D$41/12,'30% Down Amortization'!$A231,360,'With Loan'!$D$40,0,0)</f>
        <v>557.12666934300466</v>
      </c>
      <c r="D231" s="4">
        <f t="shared" si="7"/>
        <v>1640.3230072570664</v>
      </c>
      <c r="E231" s="3">
        <f t="shared" si="8"/>
        <v>177197.33785184764</v>
      </c>
    </row>
    <row r="232" spans="1:5" x14ac:dyDescent="0.25">
      <c r="A232">
        <v>229</v>
      </c>
      <c r="B232" s="4">
        <f>-PPMT('With Loan'!$D$41/12,'30% Down Amortization'!$A232,360,'With Loan'!$D$40,0,0)</f>
        <v>1086.5813264700432</v>
      </c>
      <c r="C232" s="4">
        <f>-IPMT('With Loan'!$D$41/12,'30% Down Amortization'!$A232,360,'With Loan'!$D$40,0,0)</f>
        <v>553.74168078702314</v>
      </c>
      <c r="D232" s="4">
        <f t="shared" si="7"/>
        <v>1640.3230072570664</v>
      </c>
      <c r="E232" s="3">
        <f t="shared" si="8"/>
        <v>176110.7565253776</v>
      </c>
    </row>
    <row r="233" spans="1:5" x14ac:dyDescent="0.25">
      <c r="A233">
        <v>230</v>
      </c>
      <c r="B233" s="4">
        <f>-PPMT('With Loan'!$D$41/12,'30% Down Amortization'!$A233,360,'With Loan'!$D$40,0,0)</f>
        <v>1089.9768931152621</v>
      </c>
      <c r="C233" s="4">
        <f>-IPMT('With Loan'!$D$41/12,'30% Down Amortization'!$A233,360,'With Loan'!$D$40,0,0)</f>
        <v>550.34611414180426</v>
      </c>
      <c r="D233" s="4">
        <f t="shared" si="7"/>
        <v>1640.3230072570664</v>
      </c>
      <c r="E233" s="3">
        <f t="shared" si="8"/>
        <v>175020.77963226233</v>
      </c>
    </row>
    <row r="234" spans="1:5" x14ac:dyDescent="0.25">
      <c r="A234">
        <v>231</v>
      </c>
      <c r="B234" s="4">
        <f>-PPMT('With Loan'!$D$41/12,'30% Down Amortization'!$A234,360,'With Loan'!$D$40,0,0)</f>
        <v>1093.3830709062474</v>
      </c>
      <c r="C234" s="4">
        <f>-IPMT('With Loan'!$D$41/12,'30% Down Amortization'!$A234,360,'With Loan'!$D$40,0,0)</f>
        <v>546.93993635081915</v>
      </c>
      <c r="D234" s="4">
        <f t="shared" si="7"/>
        <v>1640.3230072570666</v>
      </c>
      <c r="E234" s="3">
        <f t="shared" si="8"/>
        <v>173927.39656135609</v>
      </c>
    </row>
    <row r="235" spans="1:5" x14ac:dyDescent="0.25">
      <c r="A235">
        <v>232</v>
      </c>
      <c r="B235" s="4">
        <f>-PPMT('With Loan'!$D$41/12,'30% Down Amortization'!$A235,360,'With Loan'!$D$40,0,0)</f>
        <v>1096.7998930028295</v>
      </c>
      <c r="C235" s="4">
        <f>-IPMT('With Loan'!$D$41/12,'30% Down Amortization'!$A235,360,'With Loan'!$D$40,0,0)</f>
        <v>543.52311425423704</v>
      </c>
      <c r="D235" s="4">
        <f t="shared" si="7"/>
        <v>1640.3230072570666</v>
      </c>
      <c r="E235" s="3">
        <f t="shared" si="8"/>
        <v>172830.59666835325</v>
      </c>
    </row>
    <row r="236" spans="1:5" x14ac:dyDescent="0.25">
      <c r="A236">
        <v>233</v>
      </c>
      <c r="B236" s="4">
        <f>-PPMT('With Loan'!$D$41/12,'30% Down Amortization'!$A236,360,'With Loan'!$D$40,0,0)</f>
        <v>1100.2273926684632</v>
      </c>
      <c r="C236" s="4">
        <f>-IPMT('With Loan'!$D$41/12,'30% Down Amortization'!$A236,360,'With Loan'!$D$40,0,0)</f>
        <v>540.09561458860321</v>
      </c>
      <c r="D236" s="4">
        <f t="shared" si="7"/>
        <v>1640.3230072570664</v>
      </c>
      <c r="E236" s="3">
        <f t="shared" si="8"/>
        <v>171730.36927568479</v>
      </c>
    </row>
    <row r="237" spans="1:5" x14ac:dyDescent="0.25">
      <c r="A237">
        <v>234</v>
      </c>
      <c r="B237" s="4">
        <f>-PPMT('With Loan'!$D$41/12,'30% Down Amortization'!$A237,360,'With Loan'!$D$40,0,0)</f>
        <v>1103.6656032705523</v>
      </c>
      <c r="C237" s="4">
        <f>-IPMT('With Loan'!$D$41/12,'30% Down Amortization'!$A237,360,'With Loan'!$D$40,0,0)</f>
        <v>536.65740398651428</v>
      </c>
      <c r="D237" s="4">
        <f t="shared" si="7"/>
        <v>1640.3230072570666</v>
      </c>
      <c r="E237" s="3">
        <f t="shared" si="8"/>
        <v>170626.70367241424</v>
      </c>
    </row>
    <row r="238" spans="1:5" x14ac:dyDescent="0.25">
      <c r="A238">
        <v>235</v>
      </c>
      <c r="B238" s="4">
        <f>-PPMT('With Loan'!$D$41/12,'30% Down Amortization'!$A238,360,'With Loan'!$D$40,0,0)</f>
        <v>1107.1145582807728</v>
      </c>
      <c r="C238" s="4">
        <f>-IPMT('With Loan'!$D$41/12,'30% Down Amortization'!$A238,360,'With Loan'!$D$40,0,0)</f>
        <v>533.20844897629377</v>
      </c>
      <c r="D238" s="4">
        <f t="shared" si="7"/>
        <v>1640.3230072570666</v>
      </c>
      <c r="E238" s="3">
        <f t="shared" si="8"/>
        <v>169519.58911413347</v>
      </c>
    </row>
    <row r="239" spans="1:5" x14ac:dyDescent="0.25">
      <c r="A239">
        <v>236</v>
      </c>
      <c r="B239" s="4">
        <f>-PPMT('With Loan'!$D$41/12,'30% Down Amortization'!$A239,360,'With Loan'!$D$40,0,0)</f>
        <v>1110.5742912754001</v>
      </c>
      <c r="C239" s="4">
        <f>-IPMT('With Loan'!$D$41/12,'30% Down Amortization'!$A239,360,'With Loan'!$D$40,0,0)</f>
        <v>529.74871598166646</v>
      </c>
      <c r="D239" s="4">
        <f t="shared" si="7"/>
        <v>1640.3230072570666</v>
      </c>
      <c r="E239" s="3">
        <f t="shared" si="8"/>
        <v>168409.01482285807</v>
      </c>
    </row>
    <row r="240" spans="1:5" x14ac:dyDescent="0.25">
      <c r="A240">
        <v>237</v>
      </c>
      <c r="B240" s="4">
        <f>-PPMT('With Loan'!$D$41/12,'30% Down Amortization'!$A240,360,'With Loan'!$D$40,0,0)</f>
        <v>1114.0448359356358</v>
      </c>
      <c r="C240" s="4">
        <f>-IPMT('With Loan'!$D$41/12,'30% Down Amortization'!$A240,360,'With Loan'!$D$40,0,0)</f>
        <v>526.27817132143082</v>
      </c>
      <c r="D240" s="4">
        <f t="shared" si="7"/>
        <v>1640.3230072570666</v>
      </c>
      <c r="E240" s="3">
        <f t="shared" si="8"/>
        <v>167294.96998692243</v>
      </c>
    </row>
    <row r="241" spans="1:5" x14ac:dyDescent="0.25">
      <c r="A241">
        <v>238</v>
      </c>
      <c r="B241" s="4">
        <f>-PPMT('With Loan'!$D$41/12,'30% Down Amortization'!$A241,360,'With Loan'!$D$40,0,0)</f>
        <v>1117.5262260479346</v>
      </c>
      <c r="C241" s="4">
        <f>-IPMT('With Loan'!$D$41/12,'30% Down Amortization'!$A241,360,'With Loan'!$D$40,0,0)</f>
        <v>522.79678120913184</v>
      </c>
      <c r="D241" s="4">
        <f t="shared" si="7"/>
        <v>1640.3230072570664</v>
      </c>
      <c r="E241" s="3">
        <f t="shared" si="8"/>
        <v>166177.44376087451</v>
      </c>
    </row>
    <row r="242" spans="1:5" x14ac:dyDescent="0.25">
      <c r="A242">
        <v>239</v>
      </c>
      <c r="B242" s="4">
        <f>-PPMT('With Loan'!$D$41/12,'30% Down Amortization'!$A242,360,'With Loan'!$D$40,0,0)</f>
        <v>1121.0184955043344</v>
      </c>
      <c r="C242" s="4">
        <f>-IPMT('With Loan'!$D$41/12,'30% Down Amortization'!$A242,360,'With Loan'!$D$40,0,0)</f>
        <v>519.30451175273208</v>
      </c>
      <c r="D242" s="4">
        <f t="shared" si="7"/>
        <v>1640.3230072570664</v>
      </c>
      <c r="E242" s="3">
        <f t="shared" si="8"/>
        <v>165056.42526537017</v>
      </c>
    </row>
    <row r="243" spans="1:5" x14ac:dyDescent="0.25">
      <c r="A243">
        <v>240</v>
      </c>
      <c r="B243" s="4">
        <f>-PPMT('With Loan'!$D$41/12,'30% Down Amortization'!$A243,360,'With Loan'!$D$40,0,0)</f>
        <v>1124.5216783027854</v>
      </c>
      <c r="C243" s="4">
        <f>-IPMT('With Loan'!$D$41/12,'30% Down Amortization'!$A243,360,'With Loan'!$D$40,0,0)</f>
        <v>515.80132895428096</v>
      </c>
      <c r="D243" s="4">
        <f t="shared" si="7"/>
        <v>1640.3230072570664</v>
      </c>
      <c r="E243" s="3">
        <f t="shared" si="8"/>
        <v>163931.90358706738</v>
      </c>
    </row>
    <row r="244" spans="1:5" x14ac:dyDescent="0.25">
      <c r="A244">
        <v>241</v>
      </c>
      <c r="B244" s="4">
        <f>-PPMT('With Loan'!$D$41/12,'30% Down Amortization'!$A244,360,'With Loan'!$D$40,0,0)</f>
        <v>1128.0358085474818</v>
      </c>
      <c r="C244" s="4">
        <f>-IPMT('With Loan'!$D$41/12,'30% Down Amortization'!$A244,360,'With Loan'!$D$40,0,0)</f>
        <v>512.28719870958491</v>
      </c>
      <c r="D244" s="4">
        <f t="shared" si="7"/>
        <v>1640.3230072570668</v>
      </c>
      <c r="E244" s="3">
        <f t="shared" si="8"/>
        <v>162803.8677785199</v>
      </c>
    </row>
    <row r="245" spans="1:5" x14ac:dyDescent="0.25">
      <c r="A245">
        <v>242</v>
      </c>
      <c r="B245" s="4">
        <f>-PPMT('With Loan'!$D$41/12,'30% Down Amortization'!$A245,360,'With Loan'!$D$40,0,0)</f>
        <v>1131.5609204491925</v>
      </c>
      <c r="C245" s="4">
        <f>-IPMT('With Loan'!$D$41/12,'30% Down Amortization'!$A245,360,'With Loan'!$D$40,0,0)</f>
        <v>508.76208680787391</v>
      </c>
      <c r="D245" s="4">
        <f t="shared" si="7"/>
        <v>1640.3230072570664</v>
      </c>
      <c r="E245" s="3">
        <f t="shared" si="8"/>
        <v>161672.30685807069</v>
      </c>
    </row>
    <row r="246" spans="1:5" x14ac:dyDescent="0.25">
      <c r="A246">
        <v>243</v>
      </c>
      <c r="B246" s="4">
        <f>-PPMT('With Loan'!$D$41/12,'30% Down Amortization'!$A246,360,'With Loan'!$D$40,0,0)</f>
        <v>1135.0970483255962</v>
      </c>
      <c r="C246" s="4">
        <f>-IPMT('With Loan'!$D$41/12,'30% Down Amortization'!$A246,360,'With Loan'!$D$40,0,0)</f>
        <v>505.22595893147025</v>
      </c>
      <c r="D246" s="4">
        <f t="shared" si="7"/>
        <v>1640.3230072570664</v>
      </c>
      <c r="E246" s="3">
        <f t="shared" si="8"/>
        <v>160537.20980974508</v>
      </c>
    </row>
    <row r="247" spans="1:5" x14ac:dyDescent="0.25">
      <c r="A247">
        <v>244</v>
      </c>
      <c r="B247" s="4">
        <f>-PPMT('With Loan'!$D$41/12,'30% Down Amortization'!$A247,360,'With Loan'!$D$40,0,0)</f>
        <v>1138.6442266016138</v>
      </c>
      <c r="C247" s="4">
        <f>-IPMT('With Loan'!$D$41/12,'30% Down Amortization'!$A247,360,'With Loan'!$D$40,0,0)</f>
        <v>501.67878065545278</v>
      </c>
      <c r="D247" s="4">
        <f t="shared" si="7"/>
        <v>1640.3230072570666</v>
      </c>
      <c r="E247" s="3">
        <f t="shared" si="8"/>
        <v>159398.56558314347</v>
      </c>
    </row>
    <row r="248" spans="1:5" x14ac:dyDescent="0.25">
      <c r="A248">
        <v>245</v>
      </c>
      <c r="B248" s="4">
        <f>-PPMT('With Loan'!$D$41/12,'30% Down Amortization'!$A248,360,'With Loan'!$D$40,0,0)</f>
        <v>1142.2024898097436</v>
      </c>
      <c r="C248" s="4">
        <f>-IPMT('With Loan'!$D$41/12,'30% Down Amortization'!$A248,360,'With Loan'!$D$40,0,0)</f>
        <v>498.12051744732264</v>
      </c>
      <c r="D248" s="4">
        <f t="shared" si="7"/>
        <v>1640.3230072570664</v>
      </c>
      <c r="E248" s="3">
        <f t="shared" si="8"/>
        <v>158256.36309333373</v>
      </c>
    </row>
    <row r="249" spans="1:5" x14ac:dyDescent="0.25">
      <c r="A249">
        <v>246</v>
      </c>
      <c r="B249" s="4">
        <f>-PPMT('With Loan'!$D$41/12,'30% Down Amortization'!$A249,360,'With Loan'!$D$40,0,0)</f>
        <v>1145.7718725903992</v>
      </c>
      <c r="C249" s="4">
        <f>-IPMT('With Loan'!$D$41/12,'30% Down Amortization'!$A249,360,'With Loan'!$D$40,0,0)</f>
        <v>494.55113466666722</v>
      </c>
      <c r="D249" s="4">
        <f t="shared" si="7"/>
        <v>1640.3230072570664</v>
      </c>
      <c r="E249" s="3">
        <f t="shared" si="8"/>
        <v>157110.59122074331</v>
      </c>
    </row>
    <row r="250" spans="1:5" x14ac:dyDescent="0.25">
      <c r="A250">
        <v>247</v>
      </c>
      <c r="B250" s="4">
        <f>-PPMT('With Loan'!$D$41/12,'30% Down Amortization'!$A250,360,'With Loan'!$D$40,0,0)</f>
        <v>1149.3524096922442</v>
      </c>
      <c r="C250" s="4">
        <f>-IPMT('With Loan'!$D$41/12,'30% Down Amortization'!$A250,360,'With Loan'!$D$40,0,0)</f>
        <v>490.97059756482219</v>
      </c>
      <c r="D250" s="4">
        <f t="shared" si="7"/>
        <v>1640.3230072570664</v>
      </c>
      <c r="E250" s="3">
        <f t="shared" si="8"/>
        <v>155961.23881105107</v>
      </c>
    </row>
    <row r="251" spans="1:5" x14ac:dyDescent="0.25">
      <c r="A251">
        <v>248</v>
      </c>
      <c r="B251" s="4">
        <f>-PPMT('With Loan'!$D$41/12,'30% Down Amortization'!$A251,360,'With Loan'!$D$40,0,0)</f>
        <v>1152.9441359725324</v>
      </c>
      <c r="C251" s="4">
        <f>-IPMT('With Loan'!$D$41/12,'30% Down Amortization'!$A251,360,'With Loan'!$D$40,0,0)</f>
        <v>487.37887128453389</v>
      </c>
      <c r="D251" s="4">
        <f t="shared" si="7"/>
        <v>1640.3230072570664</v>
      </c>
      <c r="E251" s="3">
        <f t="shared" si="8"/>
        <v>154808.29467507853</v>
      </c>
    </row>
    <row r="252" spans="1:5" x14ac:dyDescent="0.25">
      <c r="A252">
        <v>249</v>
      </c>
      <c r="B252" s="4">
        <f>-PPMT('With Loan'!$D$41/12,'30% Down Amortization'!$A252,360,'With Loan'!$D$40,0,0)</f>
        <v>1156.5470863974467</v>
      </c>
      <c r="C252" s="4">
        <f>-IPMT('With Loan'!$D$41/12,'30% Down Amortization'!$A252,360,'With Loan'!$D$40,0,0)</f>
        <v>483.77592085961976</v>
      </c>
      <c r="D252" s="4">
        <f t="shared" si="7"/>
        <v>1640.3230072570664</v>
      </c>
      <c r="E252" s="3">
        <f t="shared" si="8"/>
        <v>153651.74758868109</v>
      </c>
    </row>
    <row r="253" spans="1:5" x14ac:dyDescent="0.25">
      <c r="A253">
        <v>250</v>
      </c>
      <c r="B253" s="4">
        <f>-PPMT('With Loan'!$D$41/12,'30% Down Amortization'!$A253,360,'With Loan'!$D$40,0,0)</f>
        <v>1160.1612960424388</v>
      </c>
      <c r="C253" s="4">
        <f>-IPMT('With Loan'!$D$41/12,'30% Down Amortization'!$A253,360,'With Loan'!$D$40,0,0)</f>
        <v>480.16171121462781</v>
      </c>
      <c r="D253" s="4">
        <f t="shared" si="7"/>
        <v>1640.3230072570666</v>
      </c>
      <c r="E253" s="3">
        <f t="shared" si="8"/>
        <v>152491.58629263865</v>
      </c>
    </row>
    <row r="254" spans="1:5" x14ac:dyDescent="0.25">
      <c r="A254">
        <v>251</v>
      </c>
      <c r="B254" s="4">
        <f>-PPMT('With Loan'!$D$41/12,'30% Down Amortization'!$A254,360,'With Loan'!$D$40,0,0)</f>
        <v>1163.7868000925712</v>
      </c>
      <c r="C254" s="4">
        <f>-IPMT('With Loan'!$D$41/12,'30% Down Amortization'!$A254,360,'With Loan'!$D$40,0,0)</f>
        <v>476.53620716449518</v>
      </c>
      <c r="D254" s="4">
        <f t="shared" si="7"/>
        <v>1640.3230072570664</v>
      </c>
      <c r="E254" s="3">
        <f t="shared" si="8"/>
        <v>151327.79949254607</v>
      </c>
    </row>
    <row r="255" spans="1:5" x14ac:dyDescent="0.25">
      <c r="A255">
        <v>252</v>
      </c>
      <c r="B255" s="4">
        <f>-PPMT('With Loan'!$D$41/12,'30% Down Amortization'!$A255,360,'With Loan'!$D$40,0,0)</f>
        <v>1167.4236338428607</v>
      </c>
      <c r="C255" s="4">
        <f>-IPMT('With Loan'!$D$41/12,'30% Down Amortization'!$A255,360,'With Loan'!$D$40,0,0)</f>
        <v>472.89937341420585</v>
      </c>
      <c r="D255" s="4">
        <f t="shared" si="7"/>
        <v>1640.3230072570666</v>
      </c>
      <c r="E255" s="3">
        <f t="shared" si="8"/>
        <v>150160.37585870319</v>
      </c>
    </row>
    <row r="256" spans="1:5" x14ac:dyDescent="0.25">
      <c r="A256">
        <v>253</v>
      </c>
      <c r="B256" s="4">
        <f>-PPMT('With Loan'!$D$41/12,'30% Down Amortization'!$A256,360,'With Loan'!$D$40,0,0)</f>
        <v>1171.0718326986196</v>
      </c>
      <c r="C256" s="4">
        <f>-IPMT('With Loan'!$D$41/12,'30% Down Amortization'!$A256,360,'With Loan'!$D$40,0,0)</f>
        <v>469.25117455844691</v>
      </c>
      <c r="D256" s="4">
        <f t="shared" si="7"/>
        <v>1640.3230072570664</v>
      </c>
      <c r="E256" s="3">
        <f t="shared" si="8"/>
        <v>148989.30402600457</v>
      </c>
    </row>
    <row r="257" spans="1:5" x14ac:dyDescent="0.25">
      <c r="A257">
        <v>254</v>
      </c>
      <c r="B257" s="4">
        <f>-PPMT('With Loan'!$D$41/12,'30% Down Amortization'!$A257,360,'With Loan'!$D$40,0,0)</f>
        <v>1174.7314321758026</v>
      </c>
      <c r="C257" s="4">
        <f>-IPMT('With Loan'!$D$41/12,'30% Down Amortization'!$A257,360,'With Loan'!$D$40,0,0)</f>
        <v>465.5915750812639</v>
      </c>
      <c r="D257" s="4">
        <f t="shared" si="7"/>
        <v>1640.3230072570666</v>
      </c>
      <c r="E257" s="3">
        <f t="shared" si="8"/>
        <v>147814.57259382875</v>
      </c>
    </row>
    <row r="258" spans="1:5" x14ac:dyDescent="0.25">
      <c r="A258">
        <v>255</v>
      </c>
      <c r="B258" s="4">
        <f>-PPMT('With Loan'!$D$41/12,'30% Down Amortization'!$A258,360,'With Loan'!$D$40,0,0)</f>
        <v>1178.4024679013521</v>
      </c>
      <c r="C258" s="4">
        <f>-IPMT('With Loan'!$D$41/12,'30% Down Amortization'!$A258,360,'With Loan'!$D$40,0,0)</f>
        <v>461.92053935571437</v>
      </c>
      <c r="D258" s="4">
        <f t="shared" si="7"/>
        <v>1640.3230072570664</v>
      </c>
      <c r="E258" s="3">
        <f t="shared" si="8"/>
        <v>146636.1701259274</v>
      </c>
    </row>
    <row r="259" spans="1:5" x14ac:dyDescent="0.25">
      <c r="A259">
        <v>256</v>
      </c>
      <c r="B259" s="4">
        <f>-PPMT('With Loan'!$D$41/12,'30% Down Amortization'!$A259,360,'With Loan'!$D$40,0,0)</f>
        <v>1182.0849756135437</v>
      </c>
      <c r="C259" s="4">
        <f>-IPMT('With Loan'!$D$41/12,'30% Down Amortization'!$A259,360,'With Loan'!$D$40,0,0)</f>
        <v>458.23803164352262</v>
      </c>
      <c r="D259" s="4">
        <f t="shared" si="7"/>
        <v>1640.3230072570664</v>
      </c>
      <c r="E259" s="3">
        <f t="shared" si="8"/>
        <v>145454.08515031385</v>
      </c>
    </row>
    <row r="260" spans="1:5" x14ac:dyDescent="0.25">
      <c r="A260">
        <v>257</v>
      </c>
      <c r="B260" s="4">
        <f>-PPMT('With Loan'!$D$41/12,'30% Down Amortization'!$A260,360,'With Loan'!$D$40,0,0)</f>
        <v>1185.7789911623361</v>
      </c>
      <c r="C260" s="4">
        <f>-IPMT('With Loan'!$D$41/12,'30% Down Amortization'!$A260,360,'With Loan'!$D$40,0,0)</f>
        <v>454.5440160947303</v>
      </c>
      <c r="D260" s="4">
        <f t="shared" si="7"/>
        <v>1640.3230072570664</v>
      </c>
      <c r="E260" s="3">
        <f t="shared" si="8"/>
        <v>144268.30615915151</v>
      </c>
    </row>
    <row r="261" spans="1:5" x14ac:dyDescent="0.25">
      <c r="A261">
        <v>258</v>
      </c>
      <c r="B261" s="4">
        <f>-PPMT('With Loan'!$D$41/12,'30% Down Amortization'!$A261,360,'With Loan'!$D$40,0,0)</f>
        <v>1189.4845505097185</v>
      </c>
      <c r="C261" s="4">
        <f>-IPMT('With Loan'!$D$41/12,'30% Down Amortization'!$A261,360,'With Loan'!$D$40,0,0)</f>
        <v>450.83845674734806</v>
      </c>
      <c r="D261" s="4">
        <f t="shared" ref="D261:D324" si="9">B261+C261</f>
        <v>1640.3230072570666</v>
      </c>
      <c r="E261" s="3">
        <f t="shared" si="8"/>
        <v>143078.8216086418</v>
      </c>
    </row>
    <row r="262" spans="1:5" x14ac:dyDescent="0.25">
      <c r="A262">
        <v>259</v>
      </c>
      <c r="B262" s="4">
        <f>-PPMT('With Loan'!$D$41/12,'30% Down Amortization'!$A262,360,'With Loan'!$D$40,0,0)</f>
        <v>1193.2016897300614</v>
      </c>
      <c r="C262" s="4">
        <f>-IPMT('With Loan'!$D$41/12,'30% Down Amortization'!$A262,360,'With Loan'!$D$40,0,0)</f>
        <v>447.1213175270052</v>
      </c>
      <c r="D262" s="4">
        <f t="shared" si="9"/>
        <v>1640.3230072570666</v>
      </c>
      <c r="E262" s="3">
        <f t="shared" si="8"/>
        <v>141885.61991891175</v>
      </c>
    </row>
    <row r="263" spans="1:5" x14ac:dyDescent="0.25">
      <c r="A263">
        <v>260</v>
      </c>
      <c r="B263" s="4">
        <f>-PPMT('With Loan'!$D$41/12,'30% Down Amortization'!$A263,360,'With Loan'!$D$40,0,0)</f>
        <v>1196.9304450104678</v>
      </c>
      <c r="C263" s="4">
        <f>-IPMT('With Loan'!$D$41/12,'30% Down Amortization'!$A263,360,'With Loan'!$D$40,0,0)</f>
        <v>443.39256224659874</v>
      </c>
      <c r="D263" s="4">
        <f t="shared" si="9"/>
        <v>1640.3230072570666</v>
      </c>
      <c r="E263" s="3">
        <f t="shared" si="8"/>
        <v>140688.68947390129</v>
      </c>
    </row>
    <row r="264" spans="1:5" x14ac:dyDescent="0.25">
      <c r="A264">
        <v>261</v>
      </c>
      <c r="B264" s="4">
        <f>-PPMT('With Loan'!$D$41/12,'30% Down Amortization'!$A264,360,'With Loan'!$D$40,0,0)</f>
        <v>1200.6708526511256</v>
      </c>
      <c r="C264" s="4">
        <f>-IPMT('With Loan'!$D$41/12,'30% Down Amortization'!$A264,360,'With Loan'!$D$40,0,0)</f>
        <v>439.65215460594095</v>
      </c>
      <c r="D264" s="4">
        <f t="shared" si="9"/>
        <v>1640.3230072570666</v>
      </c>
      <c r="E264" s="3">
        <f t="shared" si="8"/>
        <v>139488.01862125017</v>
      </c>
    </row>
    <row r="265" spans="1:5" x14ac:dyDescent="0.25">
      <c r="A265">
        <v>262</v>
      </c>
      <c r="B265" s="4">
        <f>-PPMT('With Loan'!$D$41/12,'30% Down Amortization'!$A265,360,'With Loan'!$D$40,0,0)</f>
        <v>1204.4229490656603</v>
      </c>
      <c r="C265" s="4">
        <f>-IPMT('With Loan'!$D$41/12,'30% Down Amortization'!$A265,360,'With Loan'!$D$40,0,0)</f>
        <v>435.90005819140623</v>
      </c>
      <c r="D265" s="4">
        <f t="shared" si="9"/>
        <v>1640.3230072570666</v>
      </c>
      <c r="E265" s="3">
        <f t="shared" si="8"/>
        <v>138283.59567218451</v>
      </c>
    </row>
    <row r="266" spans="1:5" x14ac:dyDescent="0.25">
      <c r="A266">
        <v>263</v>
      </c>
      <c r="B266" s="4">
        <f>-PPMT('With Loan'!$D$41/12,'30% Down Amortization'!$A266,360,'With Loan'!$D$40,0,0)</f>
        <v>1208.1867707814904</v>
      </c>
      <c r="C266" s="4">
        <f>-IPMT('With Loan'!$D$41/12,'30% Down Amortization'!$A266,360,'With Loan'!$D$40,0,0)</f>
        <v>432.13623647557603</v>
      </c>
      <c r="D266" s="4">
        <f t="shared" si="9"/>
        <v>1640.3230072570664</v>
      </c>
      <c r="E266" s="3">
        <f t="shared" si="8"/>
        <v>137075.40890140302</v>
      </c>
    </row>
    <row r="267" spans="1:5" x14ac:dyDescent="0.25">
      <c r="A267">
        <v>264</v>
      </c>
      <c r="B267" s="4">
        <f>-PPMT('With Loan'!$D$41/12,'30% Down Amortization'!$A267,360,'With Loan'!$D$40,0,0)</f>
        <v>1211.9623544401827</v>
      </c>
      <c r="C267" s="4">
        <f>-IPMT('With Loan'!$D$41/12,'30% Down Amortization'!$A267,360,'With Loan'!$D$40,0,0)</f>
        <v>428.36065281688394</v>
      </c>
      <c r="D267" s="4">
        <f t="shared" si="9"/>
        <v>1640.3230072570666</v>
      </c>
      <c r="E267" s="3">
        <f t="shared" si="8"/>
        <v>135863.44654696283</v>
      </c>
    </row>
    <row r="268" spans="1:5" x14ac:dyDescent="0.25">
      <c r="A268">
        <v>265</v>
      </c>
      <c r="B268" s="4">
        <f>-PPMT('With Loan'!$D$41/12,'30% Down Amortization'!$A268,360,'With Loan'!$D$40,0,0)</f>
        <v>1215.7497367978083</v>
      </c>
      <c r="C268" s="4">
        <f>-IPMT('With Loan'!$D$41/12,'30% Down Amortization'!$A268,360,'With Loan'!$D$40,0,0)</f>
        <v>424.57327045925837</v>
      </c>
      <c r="D268" s="4">
        <f t="shared" si="9"/>
        <v>1640.3230072570666</v>
      </c>
      <c r="E268" s="3">
        <f t="shared" si="8"/>
        <v>134647.69681016501</v>
      </c>
    </row>
    <row r="269" spans="1:5" x14ac:dyDescent="0.25">
      <c r="A269">
        <v>266</v>
      </c>
      <c r="B269" s="4">
        <f>-PPMT('With Loan'!$D$41/12,'30% Down Amortization'!$A269,360,'With Loan'!$D$40,0,0)</f>
        <v>1219.5489547253012</v>
      </c>
      <c r="C269" s="4">
        <f>-IPMT('With Loan'!$D$41/12,'30% Down Amortization'!$A269,360,'With Loan'!$D$40,0,0)</f>
        <v>420.77405253176516</v>
      </c>
      <c r="D269" s="4">
        <f t="shared" si="9"/>
        <v>1640.3230072570664</v>
      </c>
      <c r="E269" s="3">
        <f t="shared" si="8"/>
        <v>133428.14785543972</v>
      </c>
    </row>
    <row r="270" spans="1:5" x14ac:dyDescent="0.25">
      <c r="A270">
        <v>267</v>
      </c>
      <c r="B270" s="4">
        <f>-PPMT('With Loan'!$D$41/12,'30% Down Amortization'!$A270,360,'With Loan'!$D$40,0,0)</f>
        <v>1223.3600452088178</v>
      </c>
      <c r="C270" s="4">
        <f>-IPMT('With Loan'!$D$41/12,'30% Down Amortization'!$A270,360,'With Loan'!$D$40,0,0)</f>
        <v>416.96296204824864</v>
      </c>
      <c r="D270" s="4">
        <f t="shared" si="9"/>
        <v>1640.3230072570664</v>
      </c>
      <c r="E270" s="3">
        <f t="shared" si="8"/>
        <v>132204.78781023089</v>
      </c>
    </row>
    <row r="271" spans="1:5" x14ac:dyDescent="0.25">
      <c r="A271">
        <v>268</v>
      </c>
      <c r="B271" s="4">
        <f>-PPMT('With Loan'!$D$41/12,'30% Down Amortization'!$A271,360,'With Loan'!$D$40,0,0)</f>
        <v>1227.1830453500954</v>
      </c>
      <c r="C271" s="4">
        <f>-IPMT('With Loan'!$D$41/12,'30% Down Amortization'!$A271,360,'With Loan'!$D$40,0,0)</f>
        <v>413.13996190697105</v>
      </c>
      <c r="D271" s="4">
        <f t="shared" si="9"/>
        <v>1640.3230072570664</v>
      </c>
      <c r="E271" s="3">
        <f t="shared" si="8"/>
        <v>130977.60476488079</v>
      </c>
    </row>
    <row r="272" spans="1:5" x14ac:dyDescent="0.25">
      <c r="A272">
        <v>269</v>
      </c>
      <c r="B272" s="4">
        <f>-PPMT('With Loan'!$D$41/12,'30% Down Amortization'!$A272,360,'With Loan'!$D$40,0,0)</f>
        <v>1231.0179923668145</v>
      </c>
      <c r="C272" s="4">
        <f>-IPMT('With Loan'!$D$41/12,'30% Down Amortization'!$A272,360,'With Loan'!$D$40,0,0)</f>
        <v>409.30501489025204</v>
      </c>
      <c r="D272" s="4">
        <f t="shared" si="9"/>
        <v>1640.3230072570666</v>
      </c>
      <c r="E272" s="3">
        <f t="shared" si="8"/>
        <v>129746.58677251397</v>
      </c>
    </row>
    <row r="273" spans="1:5" x14ac:dyDescent="0.25">
      <c r="A273">
        <v>270</v>
      </c>
      <c r="B273" s="4">
        <f>-PPMT('With Loan'!$D$41/12,'30% Down Amortization'!$A273,360,'With Loan'!$D$40,0,0)</f>
        <v>1234.8649235929606</v>
      </c>
      <c r="C273" s="4">
        <f>-IPMT('With Loan'!$D$41/12,'30% Down Amortization'!$A273,360,'With Loan'!$D$40,0,0)</f>
        <v>405.45808366410569</v>
      </c>
      <c r="D273" s="4">
        <f t="shared" si="9"/>
        <v>1640.3230072570664</v>
      </c>
      <c r="E273" s="3">
        <f t="shared" si="8"/>
        <v>128511.72184892101</v>
      </c>
    </row>
    <row r="274" spans="1:5" x14ac:dyDescent="0.25">
      <c r="A274">
        <v>271</v>
      </c>
      <c r="B274" s="4">
        <f>-PPMT('With Loan'!$D$41/12,'30% Down Amortization'!$A274,360,'With Loan'!$D$40,0,0)</f>
        <v>1238.7238764791889</v>
      </c>
      <c r="C274" s="4">
        <f>-IPMT('With Loan'!$D$41/12,'30% Down Amortization'!$A274,360,'With Loan'!$D$40,0,0)</f>
        <v>401.59913077787769</v>
      </c>
      <c r="D274" s="4">
        <f t="shared" si="9"/>
        <v>1640.3230072570666</v>
      </c>
      <c r="E274" s="3">
        <f t="shared" si="8"/>
        <v>127272.99797244182</v>
      </c>
    </row>
    <row r="275" spans="1:5" x14ac:dyDescent="0.25">
      <c r="A275">
        <v>272</v>
      </c>
      <c r="B275" s="4">
        <f>-PPMT('With Loan'!$D$41/12,'30% Down Amortization'!$A275,360,'With Loan'!$D$40,0,0)</f>
        <v>1242.5948885931864</v>
      </c>
      <c r="C275" s="4">
        <f>-IPMT('With Loan'!$D$41/12,'30% Down Amortization'!$A275,360,'With Loan'!$D$40,0,0)</f>
        <v>397.7281186638802</v>
      </c>
      <c r="D275" s="4">
        <f t="shared" si="9"/>
        <v>1640.3230072570666</v>
      </c>
      <c r="E275" s="3">
        <f t="shared" si="8"/>
        <v>126030.40308384864</v>
      </c>
    </row>
    <row r="276" spans="1:5" x14ac:dyDescent="0.25">
      <c r="A276">
        <v>273</v>
      </c>
      <c r="B276" s="4">
        <f>-PPMT('With Loan'!$D$41/12,'30% Down Amortization'!$A276,360,'With Loan'!$D$40,0,0)</f>
        <v>1246.4779976200398</v>
      </c>
      <c r="C276" s="4">
        <f>-IPMT('With Loan'!$D$41/12,'30% Down Amortization'!$A276,360,'With Loan'!$D$40,0,0)</f>
        <v>393.84500963702658</v>
      </c>
      <c r="D276" s="4">
        <f t="shared" si="9"/>
        <v>1640.3230072570664</v>
      </c>
      <c r="E276" s="3">
        <f t="shared" si="8"/>
        <v>124783.9250862286</v>
      </c>
    </row>
    <row r="277" spans="1:5" x14ac:dyDescent="0.25">
      <c r="A277">
        <v>274</v>
      </c>
      <c r="B277" s="4">
        <f>-PPMT('With Loan'!$D$41/12,'30% Down Amortization'!$A277,360,'With Loan'!$D$40,0,0)</f>
        <v>1250.3732413626026</v>
      </c>
      <c r="C277" s="4">
        <f>-IPMT('With Loan'!$D$41/12,'30% Down Amortization'!$A277,360,'With Loan'!$D$40,0,0)</f>
        <v>389.94976589446395</v>
      </c>
      <c r="D277" s="4">
        <f t="shared" si="9"/>
        <v>1640.3230072570666</v>
      </c>
      <c r="E277" s="3">
        <f t="shared" si="8"/>
        <v>123533.551844866</v>
      </c>
    </row>
    <row r="278" spans="1:5" x14ac:dyDescent="0.25">
      <c r="A278">
        <v>275</v>
      </c>
      <c r="B278" s="4">
        <f>-PPMT('With Loan'!$D$41/12,'30% Down Amortization'!$A278,360,'With Loan'!$D$40,0,0)</f>
        <v>1254.2806577418608</v>
      </c>
      <c r="C278" s="4">
        <f>-IPMT('With Loan'!$D$41/12,'30% Down Amortization'!$A278,360,'With Loan'!$D$40,0,0)</f>
        <v>386.04234951520567</v>
      </c>
      <c r="D278" s="4">
        <f t="shared" si="9"/>
        <v>1640.3230072570664</v>
      </c>
      <c r="E278" s="3">
        <f t="shared" si="8"/>
        <v>122279.27118712413</v>
      </c>
    </row>
    <row r="279" spans="1:5" x14ac:dyDescent="0.25">
      <c r="A279">
        <v>276</v>
      </c>
      <c r="B279" s="4">
        <f>-PPMT('With Loan'!$D$41/12,'30% Down Amortization'!$A279,360,'With Loan'!$D$40,0,0)</f>
        <v>1258.200284797304</v>
      </c>
      <c r="C279" s="4">
        <f>-IPMT('With Loan'!$D$41/12,'30% Down Amortization'!$A279,360,'With Loan'!$D$40,0,0)</f>
        <v>382.12272245976249</v>
      </c>
      <c r="D279" s="4">
        <f t="shared" si="9"/>
        <v>1640.3230072570664</v>
      </c>
      <c r="E279" s="3">
        <f t="shared" si="8"/>
        <v>121021.07090232683</v>
      </c>
    </row>
    <row r="280" spans="1:5" x14ac:dyDescent="0.25">
      <c r="A280">
        <v>277</v>
      </c>
      <c r="B280" s="4">
        <f>-PPMT('With Loan'!$D$41/12,'30% Down Amortization'!$A280,360,'With Loan'!$D$40,0,0)</f>
        <v>1262.1321606872957</v>
      </c>
      <c r="C280" s="4">
        <f>-IPMT('With Loan'!$D$41/12,'30% Down Amortization'!$A280,360,'With Loan'!$D$40,0,0)</f>
        <v>378.19084656977088</v>
      </c>
      <c r="D280" s="4">
        <f t="shared" si="9"/>
        <v>1640.3230072570666</v>
      </c>
      <c r="E280" s="3">
        <f t="shared" si="8"/>
        <v>119758.93874163953</v>
      </c>
    </row>
    <row r="281" spans="1:5" x14ac:dyDescent="0.25">
      <c r="A281">
        <v>278</v>
      </c>
      <c r="B281" s="4">
        <f>-PPMT('With Loan'!$D$41/12,'30% Down Amortization'!$A281,360,'With Loan'!$D$40,0,0)</f>
        <v>1266.0763236894434</v>
      </c>
      <c r="C281" s="4">
        <f>-IPMT('With Loan'!$D$41/12,'30% Down Amortization'!$A281,360,'With Loan'!$D$40,0,0)</f>
        <v>374.24668356762305</v>
      </c>
      <c r="D281" s="4">
        <f t="shared" si="9"/>
        <v>1640.3230072570664</v>
      </c>
      <c r="E281" s="3">
        <f t="shared" si="8"/>
        <v>118492.86241795009</v>
      </c>
    </row>
    <row r="282" spans="1:5" x14ac:dyDescent="0.25">
      <c r="A282">
        <v>279</v>
      </c>
      <c r="B282" s="4">
        <f>-PPMT('With Loan'!$D$41/12,'30% Down Amortization'!$A282,360,'With Loan'!$D$40,0,0)</f>
        <v>1270.0328122009728</v>
      </c>
      <c r="C282" s="4">
        <f>-IPMT('With Loan'!$D$41/12,'30% Down Amortization'!$A282,360,'With Loan'!$D$40,0,0)</f>
        <v>370.29019505609358</v>
      </c>
      <c r="D282" s="4">
        <f t="shared" si="9"/>
        <v>1640.3230072570664</v>
      </c>
      <c r="E282" s="3">
        <f t="shared" si="8"/>
        <v>117222.82960574912</v>
      </c>
    </row>
    <row r="283" spans="1:5" x14ac:dyDescent="0.25">
      <c r="A283">
        <v>280</v>
      </c>
      <c r="B283" s="4">
        <f>-PPMT('With Loan'!$D$41/12,'30% Down Amortization'!$A283,360,'With Loan'!$D$40,0,0)</f>
        <v>1274.001664739101</v>
      </c>
      <c r="C283" s="4">
        <f>-IPMT('With Loan'!$D$41/12,'30% Down Amortization'!$A283,360,'With Loan'!$D$40,0,0)</f>
        <v>366.3213425179656</v>
      </c>
      <c r="D283" s="4">
        <f t="shared" si="9"/>
        <v>1640.3230072570666</v>
      </c>
      <c r="E283" s="3">
        <f t="shared" si="8"/>
        <v>115948.82794101002</v>
      </c>
    </row>
    <row r="284" spans="1:5" x14ac:dyDescent="0.25">
      <c r="A284">
        <v>281</v>
      </c>
      <c r="B284" s="4">
        <f>-PPMT('With Loan'!$D$41/12,'30% Down Amortization'!$A284,360,'With Loan'!$D$40,0,0)</f>
        <v>1277.9829199414107</v>
      </c>
      <c r="C284" s="4">
        <f>-IPMT('With Loan'!$D$41/12,'30% Down Amortization'!$A284,360,'With Loan'!$D$40,0,0)</f>
        <v>362.34008731565586</v>
      </c>
      <c r="D284" s="4">
        <f t="shared" si="9"/>
        <v>1640.3230072570666</v>
      </c>
      <c r="E284" s="3">
        <f t="shared" si="8"/>
        <v>114670.84502106861</v>
      </c>
    </row>
    <row r="285" spans="1:5" x14ac:dyDescent="0.25">
      <c r="A285">
        <v>282</v>
      </c>
      <c r="B285" s="4">
        <f>-PPMT('With Loan'!$D$41/12,'30% Down Amortization'!$A285,360,'With Loan'!$D$40,0,0)</f>
        <v>1281.9766165662277</v>
      </c>
      <c r="C285" s="4">
        <f>-IPMT('With Loan'!$D$41/12,'30% Down Amortization'!$A285,360,'With Loan'!$D$40,0,0)</f>
        <v>358.34639069083892</v>
      </c>
      <c r="D285" s="4">
        <f t="shared" si="9"/>
        <v>1640.3230072570666</v>
      </c>
      <c r="E285" s="3">
        <f t="shared" si="8"/>
        <v>113388.86840450238</v>
      </c>
    </row>
    <row r="286" spans="1:5" x14ac:dyDescent="0.25">
      <c r="A286">
        <v>283</v>
      </c>
      <c r="B286" s="4">
        <f>-PPMT('With Loan'!$D$41/12,'30% Down Amortization'!$A286,360,'With Loan'!$D$40,0,0)</f>
        <v>1285.982793492997</v>
      </c>
      <c r="C286" s="4">
        <f>-IPMT('With Loan'!$D$41/12,'30% Down Amortization'!$A286,360,'With Loan'!$D$40,0,0)</f>
        <v>354.34021376406952</v>
      </c>
      <c r="D286" s="4">
        <f t="shared" si="9"/>
        <v>1640.3230072570664</v>
      </c>
      <c r="E286" s="3">
        <f t="shared" si="8"/>
        <v>112102.88561100939</v>
      </c>
    </row>
    <row r="287" spans="1:5" x14ac:dyDescent="0.25">
      <c r="A287">
        <v>284</v>
      </c>
      <c r="B287" s="4">
        <f>-PPMT('With Loan'!$D$41/12,'30% Down Amortization'!$A287,360,'With Loan'!$D$40,0,0)</f>
        <v>1290.0014897226627</v>
      </c>
      <c r="C287" s="4">
        <f>-IPMT('With Loan'!$D$41/12,'30% Down Amortization'!$A287,360,'With Loan'!$D$40,0,0)</f>
        <v>350.32151753440388</v>
      </c>
      <c r="D287" s="4">
        <f t="shared" si="9"/>
        <v>1640.3230072570666</v>
      </c>
      <c r="E287" s="3">
        <f t="shared" si="8"/>
        <v>110812.88412128673</v>
      </c>
    </row>
    <row r="288" spans="1:5" x14ac:dyDescent="0.25">
      <c r="A288">
        <v>285</v>
      </c>
      <c r="B288" s="4">
        <f>-PPMT('With Loan'!$D$41/12,'30% Down Amortization'!$A288,360,'With Loan'!$D$40,0,0)</f>
        <v>1294.0327443780459</v>
      </c>
      <c r="C288" s="4">
        <f>-IPMT('With Loan'!$D$41/12,'30% Down Amortization'!$A288,360,'With Loan'!$D$40,0,0)</f>
        <v>346.29026287902053</v>
      </c>
      <c r="D288" s="4">
        <f t="shared" si="9"/>
        <v>1640.3230072570664</v>
      </c>
      <c r="E288" s="3">
        <f t="shared" si="8"/>
        <v>109518.85137690869</v>
      </c>
    </row>
    <row r="289" spans="1:5" x14ac:dyDescent="0.25">
      <c r="A289">
        <v>286</v>
      </c>
      <c r="B289" s="4">
        <f>-PPMT('With Loan'!$D$41/12,'30% Down Amortization'!$A289,360,'With Loan'!$D$40,0,0)</f>
        <v>1298.0765967042273</v>
      </c>
      <c r="C289" s="4">
        <f>-IPMT('With Loan'!$D$41/12,'30% Down Amortization'!$A289,360,'With Loan'!$D$40,0,0)</f>
        <v>342.24641055283922</v>
      </c>
      <c r="D289" s="4">
        <f t="shared" si="9"/>
        <v>1640.3230072570666</v>
      </c>
      <c r="E289" s="3">
        <f t="shared" si="8"/>
        <v>108220.77478020446</v>
      </c>
    </row>
    <row r="290" spans="1:5" x14ac:dyDescent="0.25">
      <c r="A290">
        <v>287</v>
      </c>
      <c r="B290" s="4">
        <f>-PPMT('With Loan'!$D$41/12,'30% Down Amortization'!$A290,360,'With Loan'!$D$40,0,0)</f>
        <v>1302.1330860689282</v>
      </c>
      <c r="C290" s="4">
        <f>-IPMT('With Loan'!$D$41/12,'30% Down Amortization'!$A290,360,'With Loan'!$D$40,0,0)</f>
        <v>338.18992118813844</v>
      </c>
      <c r="D290" s="4">
        <f t="shared" si="9"/>
        <v>1640.3230072570666</v>
      </c>
      <c r="E290" s="3">
        <f t="shared" ref="E290:E353" si="10">E289-B290</f>
        <v>106918.64169413553</v>
      </c>
    </row>
    <row r="291" spans="1:5" x14ac:dyDescent="0.25">
      <c r="A291">
        <v>288</v>
      </c>
      <c r="B291" s="4">
        <f>-PPMT('With Loan'!$D$41/12,'30% Down Amortization'!$A291,360,'With Loan'!$D$40,0,0)</f>
        <v>1306.2022519628936</v>
      </c>
      <c r="C291" s="4">
        <f>-IPMT('With Loan'!$D$41/12,'30% Down Amortization'!$A291,360,'With Loan'!$D$40,0,0)</f>
        <v>334.12075529417302</v>
      </c>
      <c r="D291" s="4">
        <f t="shared" si="9"/>
        <v>1640.3230072570666</v>
      </c>
      <c r="E291" s="3">
        <f t="shared" si="10"/>
        <v>105612.43944217263</v>
      </c>
    </row>
    <row r="292" spans="1:5" x14ac:dyDescent="0.25">
      <c r="A292">
        <v>289</v>
      </c>
      <c r="B292" s="4">
        <f>-PPMT('With Loan'!$D$41/12,'30% Down Amortization'!$A292,360,'With Loan'!$D$40,0,0)</f>
        <v>1310.2841340002774</v>
      </c>
      <c r="C292" s="4">
        <f>-IPMT('With Loan'!$D$41/12,'30% Down Amortization'!$A292,360,'With Loan'!$D$40,0,0)</f>
        <v>330.03887325678897</v>
      </c>
      <c r="D292" s="4">
        <f t="shared" si="9"/>
        <v>1640.3230072570664</v>
      </c>
      <c r="E292" s="3">
        <f t="shared" si="10"/>
        <v>104302.15530817235</v>
      </c>
    </row>
    <row r="293" spans="1:5" x14ac:dyDescent="0.25">
      <c r="A293">
        <v>290</v>
      </c>
      <c r="B293" s="4">
        <f>-PPMT('With Loan'!$D$41/12,'30% Down Amortization'!$A293,360,'With Loan'!$D$40,0,0)</f>
        <v>1314.3787719190286</v>
      </c>
      <c r="C293" s="4">
        <f>-IPMT('With Loan'!$D$41/12,'30% Down Amortization'!$A293,360,'With Loan'!$D$40,0,0)</f>
        <v>325.9442353380382</v>
      </c>
      <c r="D293" s="4">
        <f t="shared" si="9"/>
        <v>1640.3230072570668</v>
      </c>
      <c r="E293" s="3">
        <f t="shared" si="10"/>
        <v>102987.77653625332</v>
      </c>
    </row>
    <row r="294" spans="1:5" x14ac:dyDescent="0.25">
      <c r="A294">
        <v>291</v>
      </c>
      <c r="B294" s="4">
        <f>-PPMT('With Loan'!$D$41/12,'30% Down Amortization'!$A294,360,'With Loan'!$D$40,0,0)</f>
        <v>1318.4862055812755</v>
      </c>
      <c r="C294" s="4">
        <f>-IPMT('With Loan'!$D$41/12,'30% Down Amortization'!$A294,360,'With Loan'!$D$40,0,0)</f>
        <v>321.83680167579121</v>
      </c>
      <c r="D294" s="4">
        <f t="shared" si="9"/>
        <v>1640.3230072570668</v>
      </c>
      <c r="E294" s="3">
        <f t="shared" si="10"/>
        <v>101669.29033067205</v>
      </c>
    </row>
    <row r="295" spans="1:5" x14ac:dyDescent="0.25">
      <c r="A295">
        <v>292</v>
      </c>
      <c r="B295" s="4">
        <f>-PPMT('With Loan'!$D$41/12,'30% Down Amortization'!$A295,360,'With Loan'!$D$40,0,0)</f>
        <v>1322.6064749737168</v>
      </c>
      <c r="C295" s="4">
        <f>-IPMT('With Loan'!$D$41/12,'30% Down Amortization'!$A295,360,'With Loan'!$D$40,0,0)</f>
        <v>317.71653228334969</v>
      </c>
      <c r="D295" s="4">
        <f t="shared" si="9"/>
        <v>1640.3230072570664</v>
      </c>
      <c r="E295" s="3">
        <f t="shared" si="10"/>
        <v>100346.68385569834</v>
      </c>
    </row>
    <row r="296" spans="1:5" x14ac:dyDescent="0.25">
      <c r="A296">
        <v>293</v>
      </c>
      <c r="B296" s="4">
        <f>-PPMT('With Loan'!$D$41/12,'30% Down Amortization'!$A296,360,'With Loan'!$D$40,0,0)</f>
        <v>1326.7396202080097</v>
      </c>
      <c r="C296" s="4">
        <f>-IPMT('With Loan'!$D$41/12,'30% Down Amortization'!$A296,360,'With Loan'!$D$40,0,0)</f>
        <v>313.5833870490568</v>
      </c>
      <c r="D296" s="4">
        <f t="shared" si="9"/>
        <v>1640.3230072570664</v>
      </c>
      <c r="E296" s="3">
        <f t="shared" si="10"/>
        <v>99019.944235490329</v>
      </c>
    </row>
    <row r="297" spans="1:5" x14ac:dyDescent="0.25">
      <c r="A297">
        <v>294</v>
      </c>
      <c r="B297" s="4">
        <f>-PPMT('With Loan'!$D$41/12,'30% Down Amortization'!$A297,360,'With Loan'!$D$40,0,0)</f>
        <v>1330.8856815211598</v>
      </c>
      <c r="C297" s="4">
        <f>-IPMT('With Loan'!$D$41/12,'30% Down Amortization'!$A297,360,'With Loan'!$D$40,0,0)</f>
        <v>309.43732573590682</v>
      </c>
      <c r="D297" s="4">
        <f t="shared" si="9"/>
        <v>1640.3230072570666</v>
      </c>
      <c r="E297" s="3">
        <f t="shared" si="10"/>
        <v>97689.058553969167</v>
      </c>
    </row>
    <row r="298" spans="1:5" x14ac:dyDescent="0.25">
      <c r="A298">
        <v>295</v>
      </c>
      <c r="B298" s="4">
        <f>-PPMT('With Loan'!$D$41/12,'30% Down Amortization'!$A298,360,'With Loan'!$D$40,0,0)</f>
        <v>1335.0446992759134</v>
      </c>
      <c r="C298" s="4">
        <f>-IPMT('With Loan'!$D$41/12,'30% Down Amortization'!$A298,360,'With Loan'!$D$40,0,0)</f>
        <v>305.27830798115315</v>
      </c>
      <c r="D298" s="4">
        <f t="shared" si="9"/>
        <v>1640.3230072570666</v>
      </c>
      <c r="E298" s="3">
        <f t="shared" si="10"/>
        <v>96354.013854693258</v>
      </c>
    </row>
    <row r="299" spans="1:5" x14ac:dyDescent="0.25">
      <c r="A299">
        <v>296</v>
      </c>
      <c r="B299" s="4">
        <f>-PPMT('With Loan'!$D$41/12,'30% Down Amortization'!$A299,360,'With Loan'!$D$40,0,0)</f>
        <v>1339.2167139611506</v>
      </c>
      <c r="C299" s="4">
        <f>-IPMT('With Loan'!$D$41/12,'30% Down Amortization'!$A299,360,'With Loan'!$D$40,0,0)</f>
        <v>301.10629329591598</v>
      </c>
      <c r="D299" s="4">
        <f t="shared" si="9"/>
        <v>1640.3230072570666</v>
      </c>
      <c r="E299" s="3">
        <f t="shared" si="10"/>
        <v>95014.797140732102</v>
      </c>
    </row>
    <row r="300" spans="1:5" x14ac:dyDescent="0.25">
      <c r="A300">
        <v>297</v>
      </c>
      <c r="B300" s="4">
        <f>-PPMT('With Loan'!$D$41/12,'30% Down Amortization'!$A300,360,'With Loan'!$D$40,0,0)</f>
        <v>1343.4017661922792</v>
      </c>
      <c r="C300" s="4">
        <f>-IPMT('With Loan'!$D$41/12,'30% Down Amortization'!$A300,360,'With Loan'!$D$40,0,0)</f>
        <v>296.92124106478735</v>
      </c>
      <c r="D300" s="4">
        <f t="shared" si="9"/>
        <v>1640.3230072570666</v>
      </c>
      <c r="E300" s="3">
        <f t="shared" si="10"/>
        <v>93671.395374539818</v>
      </c>
    </row>
    <row r="301" spans="1:5" x14ac:dyDescent="0.25">
      <c r="A301">
        <v>298</v>
      </c>
      <c r="B301" s="4">
        <f>-PPMT('With Loan'!$D$41/12,'30% Down Amortization'!$A301,360,'With Loan'!$D$40,0,0)</f>
        <v>1347.5998967116302</v>
      </c>
      <c r="C301" s="4">
        <f>-IPMT('With Loan'!$D$41/12,'30% Down Amortization'!$A301,360,'With Loan'!$D$40,0,0)</f>
        <v>292.72311054543644</v>
      </c>
      <c r="D301" s="4">
        <f t="shared" si="9"/>
        <v>1640.3230072570666</v>
      </c>
      <c r="E301" s="3">
        <f t="shared" si="10"/>
        <v>92323.795477828186</v>
      </c>
    </row>
    <row r="302" spans="1:5" x14ac:dyDescent="0.25">
      <c r="A302">
        <v>299</v>
      </c>
      <c r="B302" s="4">
        <f>-PPMT('With Loan'!$D$41/12,'30% Down Amortization'!$A302,360,'With Loan'!$D$40,0,0)</f>
        <v>1351.8111463888538</v>
      </c>
      <c r="C302" s="4">
        <f>-IPMT('With Loan'!$D$41/12,'30% Down Amortization'!$A302,360,'With Loan'!$D$40,0,0)</f>
        <v>288.51186086821264</v>
      </c>
      <c r="D302" s="4">
        <f t="shared" si="9"/>
        <v>1640.3230072570664</v>
      </c>
      <c r="E302" s="3">
        <f t="shared" si="10"/>
        <v>90971.984331439337</v>
      </c>
    </row>
    <row r="303" spans="1:5" x14ac:dyDescent="0.25">
      <c r="A303">
        <v>300</v>
      </c>
      <c r="B303" s="4">
        <f>-PPMT('With Loan'!$D$41/12,'30% Down Amortization'!$A303,360,'With Loan'!$D$40,0,0)</f>
        <v>1356.035556221319</v>
      </c>
      <c r="C303" s="4">
        <f>-IPMT('With Loan'!$D$41/12,'30% Down Amortization'!$A303,360,'With Loan'!$D$40,0,0)</f>
        <v>284.28745103574738</v>
      </c>
      <c r="D303" s="4">
        <f t="shared" si="9"/>
        <v>1640.3230072570664</v>
      </c>
      <c r="E303" s="3">
        <f t="shared" si="10"/>
        <v>89615.948775218014</v>
      </c>
    </row>
    <row r="304" spans="1:5" x14ac:dyDescent="0.25">
      <c r="A304">
        <v>301</v>
      </c>
      <c r="B304" s="4">
        <f>-PPMT('With Loan'!$D$41/12,'30% Down Amortization'!$A304,360,'With Loan'!$D$40,0,0)</f>
        <v>1360.2731673345106</v>
      </c>
      <c r="C304" s="4">
        <f>-IPMT('With Loan'!$D$41/12,'30% Down Amortization'!$A304,360,'With Loan'!$D$40,0,0)</f>
        <v>280.04983992255586</v>
      </c>
      <c r="D304" s="4">
        <f t="shared" si="9"/>
        <v>1640.3230072570664</v>
      </c>
      <c r="E304" s="3">
        <f t="shared" si="10"/>
        <v>88255.675607883502</v>
      </c>
    </row>
    <row r="305" spans="1:5" x14ac:dyDescent="0.25">
      <c r="A305">
        <v>302</v>
      </c>
      <c r="B305" s="4">
        <f>-PPMT('With Loan'!$D$41/12,'30% Down Amortization'!$A305,360,'With Loan'!$D$40,0,0)</f>
        <v>1364.524020982431</v>
      </c>
      <c r="C305" s="4">
        <f>-IPMT('With Loan'!$D$41/12,'30% Down Amortization'!$A305,360,'With Loan'!$D$40,0,0)</f>
        <v>275.79898627463552</v>
      </c>
      <c r="D305" s="4">
        <f t="shared" si="9"/>
        <v>1640.3230072570666</v>
      </c>
      <c r="E305" s="3">
        <f t="shared" si="10"/>
        <v>86891.151586901076</v>
      </c>
    </row>
    <row r="306" spans="1:5" x14ac:dyDescent="0.25">
      <c r="A306">
        <v>303</v>
      </c>
      <c r="B306" s="4">
        <f>-PPMT('With Loan'!$D$41/12,'30% Down Amortization'!$A306,360,'With Loan'!$D$40,0,0)</f>
        <v>1368.7881585480011</v>
      </c>
      <c r="C306" s="4">
        <f>-IPMT('With Loan'!$D$41/12,'30% Down Amortization'!$A306,360,'With Loan'!$D$40,0,0)</f>
        <v>271.53484870906544</v>
      </c>
      <c r="D306" s="4">
        <f t="shared" si="9"/>
        <v>1640.3230072570666</v>
      </c>
      <c r="E306" s="3">
        <f t="shared" si="10"/>
        <v>85522.36342835307</v>
      </c>
    </row>
    <row r="307" spans="1:5" x14ac:dyDescent="0.25">
      <c r="A307">
        <v>304</v>
      </c>
      <c r="B307" s="4">
        <f>-PPMT('With Loan'!$D$41/12,'30% Down Amortization'!$A307,360,'With Loan'!$D$40,0,0)</f>
        <v>1373.0656215434635</v>
      </c>
      <c r="C307" s="4">
        <f>-IPMT('With Loan'!$D$41/12,'30% Down Amortization'!$A307,360,'With Loan'!$D$40,0,0)</f>
        <v>267.2573857136029</v>
      </c>
      <c r="D307" s="4">
        <f t="shared" si="9"/>
        <v>1640.3230072570664</v>
      </c>
      <c r="E307" s="3">
        <f t="shared" si="10"/>
        <v>84149.297806809613</v>
      </c>
    </row>
    <row r="308" spans="1:5" x14ac:dyDescent="0.25">
      <c r="A308">
        <v>305</v>
      </c>
      <c r="B308" s="4">
        <f>-PPMT('With Loan'!$D$41/12,'30% Down Amortization'!$A308,360,'With Loan'!$D$40,0,0)</f>
        <v>1377.356451610787</v>
      </c>
      <c r="C308" s="4">
        <f>-IPMT('With Loan'!$D$41/12,'30% Down Amortization'!$A308,360,'With Loan'!$D$40,0,0)</f>
        <v>262.96655564627963</v>
      </c>
      <c r="D308" s="4">
        <f t="shared" si="9"/>
        <v>1640.3230072570666</v>
      </c>
      <c r="E308" s="3">
        <f t="shared" si="10"/>
        <v>82771.941355198825</v>
      </c>
    </row>
    <row r="309" spans="1:5" x14ac:dyDescent="0.25">
      <c r="A309">
        <v>306</v>
      </c>
      <c r="B309" s="4">
        <f>-PPMT('With Loan'!$D$41/12,'30% Down Amortization'!$A309,360,'With Loan'!$D$40,0,0)</f>
        <v>1381.6606905220706</v>
      </c>
      <c r="C309" s="4">
        <f>-IPMT('With Loan'!$D$41/12,'30% Down Amortization'!$A309,360,'With Loan'!$D$40,0,0)</f>
        <v>258.6623167349959</v>
      </c>
      <c r="D309" s="4">
        <f t="shared" si="9"/>
        <v>1640.3230072570664</v>
      </c>
      <c r="E309" s="3">
        <f t="shared" si="10"/>
        <v>81390.280664676757</v>
      </c>
    </row>
    <row r="310" spans="1:5" x14ac:dyDescent="0.25">
      <c r="A310">
        <v>307</v>
      </c>
      <c r="B310" s="4">
        <f>-PPMT('With Loan'!$D$41/12,'30% Down Amortization'!$A310,360,'With Loan'!$D$40,0,0)</f>
        <v>1385.978380179952</v>
      </c>
      <c r="C310" s="4">
        <f>-IPMT('With Loan'!$D$41/12,'30% Down Amortization'!$A310,360,'With Loan'!$D$40,0,0)</f>
        <v>254.34462707711438</v>
      </c>
      <c r="D310" s="4">
        <f t="shared" si="9"/>
        <v>1640.3230072570664</v>
      </c>
      <c r="E310" s="3">
        <f t="shared" si="10"/>
        <v>80004.302284496807</v>
      </c>
    </row>
    <row r="311" spans="1:5" x14ac:dyDescent="0.25">
      <c r="A311">
        <v>308</v>
      </c>
      <c r="B311" s="4">
        <f>-PPMT('With Loan'!$D$41/12,'30% Down Amortization'!$A311,360,'With Loan'!$D$40,0,0)</f>
        <v>1390.3095626180145</v>
      </c>
      <c r="C311" s="4">
        <f>-IPMT('With Loan'!$D$41/12,'30% Down Amortization'!$A311,360,'With Loan'!$D$40,0,0)</f>
        <v>250.01344463905204</v>
      </c>
      <c r="D311" s="4">
        <f t="shared" si="9"/>
        <v>1640.3230072570666</v>
      </c>
      <c r="E311" s="3">
        <f t="shared" si="10"/>
        <v>78613.992721878793</v>
      </c>
    </row>
    <row r="312" spans="1:5" x14ac:dyDescent="0.25">
      <c r="A312">
        <v>309</v>
      </c>
      <c r="B312" s="4">
        <f>-PPMT('With Loan'!$D$41/12,'30% Down Amortization'!$A312,360,'With Loan'!$D$40,0,0)</f>
        <v>1394.6542800011955</v>
      </c>
      <c r="C312" s="4">
        <f>-IPMT('With Loan'!$D$41/12,'30% Down Amortization'!$A312,360,'With Loan'!$D$40,0,0)</f>
        <v>245.66872725587075</v>
      </c>
      <c r="D312" s="4">
        <f t="shared" si="9"/>
        <v>1640.3230072570664</v>
      </c>
      <c r="E312" s="3">
        <f t="shared" si="10"/>
        <v>77219.338441877597</v>
      </c>
    </row>
    <row r="313" spans="1:5" x14ac:dyDescent="0.25">
      <c r="A313">
        <v>310</v>
      </c>
      <c r="B313" s="4">
        <f>-PPMT('With Loan'!$D$41/12,'30% Down Amortization'!$A313,360,'With Loan'!$D$40,0,0)</f>
        <v>1399.0125746261995</v>
      </c>
      <c r="C313" s="4">
        <f>-IPMT('With Loan'!$D$41/12,'30% Down Amortization'!$A313,360,'With Loan'!$D$40,0,0)</f>
        <v>241.31043263086701</v>
      </c>
      <c r="D313" s="4">
        <f t="shared" si="9"/>
        <v>1640.3230072570664</v>
      </c>
      <c r="E313" s="3">
        <f t="shared" si="10"/>
        <v>75820.325867251391</v>
      </c>
    </row>
    <row r="314" spans="1:5" x14ac:dyDescent="0.25">
      <c r="A314">
        <v>311</v>
      </c>
      <c r="B314" s="4">
        <f>-PPMT('With Loan'!$D$41/12,'30% Down Amortization'!$A314,360,'With Loan'!$D$40,0,0)</f>
        <v>1403.3844889219063</v>
      </c>
      <c r="C314" s="4">
        <f>-IPMT('With Loan'!$D$41/12,'30% Down Amortization'!$A314,360,'With Loan'!$D$40,0,0)</f>
        <v>236.93851833516013</v>
      </c>
      <c r="D314" s="4">
        <f t="shared" si="9"/>
        <v>1640.3230072570664</v>
      </c>
      <c r="E314" s="3">
        <f t="shared" si="10"/>
        <v>74416.941378329488</v>
      </c>
    </row>
    <row r="315" spans="1:5" x14ac:dyDescent="0.25">
      <c r="A315">
        <v>312</v>
      </c>
      <c r="B315" s="4">
        <f>-PPMT('With Loan'!$D$41/12,'30% Down Amortization'!$A315,360,'With Loan'!$D$40,0,0)</f>
        <v>1407.7700654497874</v>
      </c>
      <c r="C315" s="4">
        <f>-IPMT('With Loan'!$D$41/12,'30% Down Amortization'!$A315,360,'With Loan'!$D$40,0,0)</f>
        <v>232.55294180727918</v>
      </c>
      <c r="D315" s="4">
        <f t="shared" si="9"/>
        <v>1640.3230072570666</v>
      </c>
      <c r="E315" s="3">
        <f t="shared" si="10"/>
        <v>73009.171312879698</v>
      </c>
    </row>
    <row r="316" spans="1:5" x14ac:dyDescent="0.25">
      <c r="A316">
        <v>313</v>
      </c>
      <c r="B316" s="4">
        <f>-PPMT('With Loan'!$D$41/12,'30% Down Amortization'!$A316,360,'With Loan'!$D$40,0,0)</f>
        <v>1412.169346904318</v>
      </c>
      <c r="C316" s="4">
        <f>-IPMT('With Loan'!$D$41/12,'30% Down Amortization'!$A316,360,'With Loan'!$D$40,0,0)</f>
        <v>228.15366035274857</v>
      </c>
      <c r="D316" s="4">
        <f t="shared" si="9"/>
        <v>1640.3230072570666</v>
      </c>
      <c r="E316" s="3">
        <f t="shared" si="10"/>
        <v>71597.001965975374</v>
      </c>
    </row>
    <row r="317" spans="1:5" x14ac:dyDescent="0.25">
      <c r="A317">
        <v>314</v>
      </c>
      <c r="B317" s="4">
        <f>-PPMT('With Loan'!$D$41/12,'30% Down Amortization'!$A317,360,'With Loan'!$D$40,0,0)</f>
        <v>1416.5823761133938</v>
      </c>
      <c r="C317" s="4">
        <f>-IPMT('With Loan'!$D$41/12,'30% Down Amortization'!$A317,360,'With Loan'!$D$40,0,0)</f>
        <v>223.74063114367263</v>
      </c>
      <c r="D317" s="4">
        <f t="shared" si="9"/>
        <v>1640.3230072570664</v>
      </c>
      <c r="E317" s="3">
        <f t="shared" si="10"/>
        <v>70180.41958986198</v>
      </c>
    </row>
    <row r="318" spans="1:5" x14ac:dyDescent="0.25">
      <c r="A318">
        <v>315</v>
      </c>
      <c r="B318" s="4">
        <f>-PPMT('With Loan'!$D$41/12,'30% Down Amortization'!$A318,360,'With Loan'!$D$40,0,0)</f>
        <v>1421.0091960387483</v>
      </c>
      <c r="C318" s="4">
        <f>-IPMT('With Loan'!$D$41/12,'30% Down Amortization'!$A318,360,'With Loan'!$D$40,0,0)</f>
        <v>219.31381121831825</v>
      </c>
      <c r="D318" s="4">
        <f t="shared" si="9"/>
        <v>1640.3230072570666</v>
      </c>
      <c r="E318" s="3">
        <f t="shared" si="10"/>
        <v>68759.410393823229</v>
      </c>
    </row>
    <row r="319" spans="1:5" x14ac:dyDescent="0.25">
      <c r="A319">
        <v>316</v>
      </c>
      <c r="B319" s="4">
        <f>-PPMT('With Loan'!$D$41/12,'30% Down Amortization'!$A319,360,'With Loan'!$D$40,0,0)</f>
        <v>1425.4498497763693</v>
      </c>
      <c r="C319" s="4">
        <f>-IPMT('With Loan'!$D$41/12,'30% Down Amortization'!$A319,360,'With Loan'!$D$40,0,0)</f>
        <v>214.87315748069713</v>
      </c>
      <c r="D319" s="4">
        <f t="shared" si="9"/>
        <v>1640.3230072570664</v>
      </c>
      <c r="E319" s="3">
        <f t="shared" si="10"/>
        <v>67333.960544046859</v>
      </c>
    </row>
    <row r="320" spans="1:5" x14ac:dyDescent="0.25">
      <c r="A320">
        <v>317</v>
      </c>
      <c r="B320" s="4">
        <f>-PPMT('With Loan'!$D$41/12,'30% Down Amortization'!$A320,360,'With Loan'!$D$40,0,0)</f>
        <v>1429.9043805569206</v>
      </c>
      <c r="C320" s="4">
        <f>-IPMT('With Loan'!$D$41/12,'30% Down Amortization'!$A320,360,'With Loan'!$D$40,0,0)</f>
        <v>210.41862670014606</v>
      </c>
      <c r="D320" s="4">
        <f t="shared" si="9"/>
        <v>1640.3230072570666</v>
      </c>
      <c r="E320" s="3">
        <f t="shared" si="10"/>
        <v>65904.056163489935</v>
      </c>
    </row>
    <row r="321" spans="1:5" x14ac:dyDescent="0.25">
      <c r="A321">
        <v>318</v>
      </c>
      <c r="B321" s="4">
        <f>-PPMT('With Loan'!$D$41/12,'30% Down Amortization'!$A321,360,'With Loan'!$D$40,0,0)</f>
        <v>1434.3728317461607</v>
      </c>
      <c r="C321" s="4">
        <f>-IPMT('With Loan'!$D$41/12,'30% Down Amortization'!$A321,360,'With Loan'!$D$40,0,0)</f>
        <v>205.95017551090561</v>
      </c>
      <c r="D321" s="4">
        <f t="shared" si="9"/>
        <v>1640.3230072570664</v>
      </c>
      <c r="E321" s="3">
        <f t="shared" si="10"/>
        <v>64469.683331743778</v>
      </c>
    </row>
    <row r="322" spans="1:5" x14ac:dyDescent="0.25">
      <c r="A322">
        <v>319</v>
      </c>
      <c r="B322" s="4">
        <f>-PPMT('With Loan'!$D$41/12,'30% Down Amortization'!$A322,360,'With Loan'!$D$40,0,0)</f>
        <v>1438.8552468453677</v>
      </c>
      <c r="C322" s="4">
        <f>-IPMT('With Loan'!$D$41/12,'30% Down Amortization'!$A322,360,'With Loan'!$D$40,0,0)</f>
        <v>201.46776041169889</v>
      </c>
      <c r="D322" s="4">
        <f t="shared" si="9"/>
        <v>1640.3230072570666</v>
      </c>
      <c r="E322" s="3">
        <f t="shared" si="10"/>
        <v>63030.828084898407</v>
      </c>
    </row>
    <row r="323" spans="1:5" x14ac:dyDescent="0.25">
      <c r="A323">
        <v>320</v>
      </c>
      <c r="B323" s="4">
        <f>-PPMT('With Loan'!$D$41/12,'30% Down Amortization'!$A323,360,'With Loan'!$D$40,0,0)</f>
        <v>1443.3516694917594</v>
      </c>
      <c r="C323" s="4">
        <f>-IPMT('With Loan'!$D$41/12,'30% Down Amortization'!$A323,360,'With Loan'!$D$40,0,0)</f>
        <v>196.97133776530711</v>
      </c>
      <c r="D323" s="4">
        <f t="shared" si="9"/>
        <v>1640.3230072570664</v>
      </c>
      <c r="E323" s="3">
        <f t="shared" si="10"/>
        <v>61587.476415406651</v>
      </c>
    </row>
    <row r="324" spans="1:5" x14ac:dyDescent="0.25">
      <c r="A324">
        <v>321</v>
      </c>
      <c r="B324" s="4">
        <f>-PPMT('With Loan'!$D$41/12,'30% Down Amortization'!$A324,360,'With Loan'!$D$40,0,0)</f>
        <v>1447.8621434589211</v>
      </c>
      <c r="C324" s="4">
        <f>-IPMT('With Loan'!$D$41/12,'30% Down Amortization'!$A324,360,'With Loan'!$D$40,0,0)</f>
        <v>192.46086379814537</v>
      </c>
      <c r="D324" s="4">
        <f t="shared" si="9"/>
        <v>1640.3230072570664</v>
      </c>
      <c r="E324" s="3">
        <f t="shared" si="10"/>
        <v>60139.614271947728</v>
      </c>
    </row>
    <row r="325" spans="1:5" x14ac:dyDescent="0.25">
      <c r="A325">
        <v>322</v>
      </c>
      <c r="B325" s="4">
        <f>-PPMT('With Loan'!$D$41/12,'30% Down Amortization'!$A325,360,'With Loan'!$D$40,0,0)</f>
        <v>1452.3867126572302</v>
      </c>
      <c r="C325" s="4">
        <f>-IPMT('With Loan'!$D$41/12,'30% Down Amortization'!$A325,360,'With Loan'!$D$40,0,0)</f>
        <v>187.93629459983623</v>
      </c>
      <c r="D325" s="4">
        <f t="shared" ref="D325:D363" si="11">B325+C325</f>
        <v>1640.3230072570664</v>
      </c>
      <c r="E325" s="3">
        <f t="shared" si="10"/>
        <v>58687.227559290499</v>
      </c>
    </row>
    <row r="326" spans="1:5" x14ac:dyDescent="0.25">
      <c r="A326">
        <v>323</v>
      </c>
      <c r="B326" s="4">
        <f>-PPMT('With Loan'!$D$41/12,'30% Down Amortization'!$A326,360,'With Loan'!$D$40,0,0)</f>
        <v>1456.9254211342841</v>
      </c>
      <c r="C326" s="4">
        <f>-IPMT('With Loan'!$D$41/12,'30% Down Amortization'!$A326,360,'With Loan'!$D$40,0,0)</f>
        <v>183.39758612278237</v>
      </c>
      <c r="D326" s="4">
        <f t="shared" si="11"/>
        <v>1640.3230072570664</v>
      </c>
      <c r="E326" s="3">
        <f t="shared" si="10"/>
        <v>57230.302138156214</v>
      </c>
    </row>
    <row r="327" spans="1:5" x14ac:dyDescent="0.25">
      <c r="A327">
        <v>324</v>
      </c>
      <c r="B327" s="4">
        <f>-PPMT('With Loan'!$D$41/12,'30% Down Amortization'!$A327,360,'With Loan'!$D$40,0,0)</f>
        <v>1461.4783130753287</v>
      </c>
      <c r="C327" s="4">
        <f>-IPMT('With Loan'!$D$41/12,'30% Down Amortization'!$A327,360,'With Loan'!$D$40,0,0)</f>
        <v>178.84469418173771</v>
      </c>
      <c r="D327" s="4">
        <f t="shared" si="11"/>
        <v>1640.3230072570664</v>
      </c>
      <c r="E327" s="3">
        <f t="shared" si="10"/>
        <v>55768.823825080886</v>
      </c>
    </row>
    <row r="328" spans="1:5" x14ac:dyDescent="0.25">
      <c r="A328">
        <v>325</v>
      </c>
      <c r="B328" s="4">
        <f>-PPMT('With Loan'!$D$41/12,'30% Down Amortization'!$A328,360,'With Loan'!$D$40,0,0)</f>
        <v>1466.0454328036892</v>
      </c>
      <c r="C328" s="4">
        <f>-IPMT('With Loan'!$D$41/12,'30% Down Amortization'!$A328,360,'With Loan'!$D$40,0,0)</f>
        <v>174.27757445337735</v>
      </c>
      <c r="D328" s="4">
        <f t="shared" si="11"/>
        <v>1640.3230072570666</v>
      </c>
      <c r="E328" s="3">
        <f t="shared" si="10"/>
        <v>54302.7783922772</v>
      </c>
    </row>
    <row r="329" spans="1:5" x14ac:dyDescent="0.25">
      <c r="A329">
        <v>326</v>
      </c>
      <c r="B329" s="4">
        <f>-PPMT('With Loan'!$D$41/12,'30% Down Amortization'!$A329,360,'With Loan'!$D$40,0,0)</f>
        <v>1470.6268247812006</v>
      </c>
      <c r="C329" s="4">
        <f>-IPMT('With Loan'!$D$41/12,'30% Down Amortization'!$A329,360,'With Loan'!$D$40,0,0)</f>
        <v>169.69618247586581</v>
      </c>
      <c r="D329" s="4">
        <f t="shared" si="11"/>
        <v>1640.3230072570664</v>
      </c>
      <c r="E329" s="3">
        <f t="shared" si="10"/>
        <v>52832.151567495996</v>
      </c>
    </row>
    <row r="330" spans="1:5" x14ac:dyDescent="0.25">
      <c r="A330">
        <v>327</v>
      </c>
      <c r="B330" s="4">
        <f>-PPMT('With Loan'!$D$41/12,'30% Down Amortization'!$A330,360,'With Loan'!$D$40,0,0)</f>
        <v>1475.2225336086419</v>
      </c>
      <c r="C330" s="4">
        <f>-IPMT('With Loan'!$D$41/12,'30% Down Amortization'!$A330,360,'With Loan'!$D$40,0,0)</f>
        <v>165.10047364842455</v>
      </c>
      <c r="D330" s="4">
        <f t="shared" si="11"/>
        <v>1640.3230072570664</v>
      </c>
      <c r="E330" s="3">
        <f t="shared" si="10"/>
        <v>51356.929033887354</v>
      </c>
    </row>
    <row r="331" spans="1:5" x14ac:dyDescent="0.25">
      <c r="A331">
        <v>328</v>
      </c>
      <c r="B331" s="4">
        <f>-PPMT('With Loan'!$D$41/12,'30% Down Amortization'!$A331,360,'With Loan'!$D$40,0,0)</f>
        <v>1479.8326040261688</v>
      </c>
      <c r="C331" s="4">
        <f>-IPMT('With Loan'!$D$41/12,'30% Down Amortization'!$A331,360,'With Loan'!$D$40,0,0)</f>
        <v>160.49040323089756</v>
      </c>
      <c r="D331" s="4">
        <f t="shared" si="11"/>
        <v>1640.3230072570664</v>
      </c>
      <c r="E331" s="3">
        <f t="shared" si="10"/>
        <v>49877.096429861187</v>
      </c>
    </row>
    <row r="332" spans="1:5" x14ac:dyDescent="0.25">
      <c r="A332">
        <v>329</v>
      </c>
      <c r="B332" s="4">
        <f>-PPMT('With Loan'!$D$41/12,'30% Down Amortization'!$A332,360,'With Loan'!$D$40,0,0)</f>
        <v>1484.4570809137508</v>
      </c>
      <c r="C332" s="4">
        <f>-IPMT('With Loan'!$D$41/12,'30% Down Amortization'!$A332,360,'With Loan'!$D$40,0,0)</f>
        <v>155.86592634331578</v>
      </c>
      <c r="D332" s="4">
        <f t="shared" si="11"/>
        <v>1640.3230072570666</v>
      </c>
      <c r="E332" s="3">
        <f t="shared" si="10"/>
        <v>48392.639348947436</v>
      </c>
    </row>
    <row r="333" spans="1:5" x14ac:dyDescent="0.25">
      <c r="A333">
        <v>330</v>
      </c>
      <c r="B333" s="4">
        <f>-PPMT('With Loan'!$D$41/12,'30% Down Amortization'!$A333,360,'With Loan'!$D$40,0,0)</f>
        <v>1489.0960092916062</v>
      </c>
      <c r="C333" s="4">
        <f>-IPMT('With Loan'!$D$41/12,'30% Down Amortization'!$A333,360,'With Loan'!$D$40,0,0)</f>
        <v>151.2269979654603</v>
      </c>
      <c r="D333" s="4">
        <f t="shared" si="11"/>
        <v>1640.3230072570664</v>
      </c>
      <c r="E333" s="3">
        <f t="shared" si="10"/>
        <v>46903.543339655829</v>
      </c>
    </row>
    <row r="334" spans="1:5" x14ac:dyDescent="0.25">
      <c r="A334">
        <v>331</v>
      </c>
      <c r="B334" s="4">
        <f>-PPMT('With Loan'!$D$41/12,'30% Down Amortization'!$A334,360,'With Loan'!$D$40,0,0)</f>
        <v>1493.7494343206424</v>
      </c>
      <c r="C334" s="4">
        <f>-IPMT('With Loan'!$D$41/12,'30% Down Amortization'!$A334,360,'With Loan'!$D$40,0,0)</f>
        <v>146.57357293642406</v>
      </c>
      <c r="D334" s="4">
        <f t="shared" si="11"/>
        <v>1640.3230072570664</v>
      </c>
      <c r="E334" s="3">
        <f t="shared" si="10"/>
        <v>45409.793905335187</v>
      </c>
    </row>
    <row r="335" spans="1:5" x14ac:dyDescent="0.25">
      <c r="A335">
        <v>332</v>
      </c>
      <c r="B335" s="4">
        <f>-PPMT('With Loan'!$D$41/12,'30% Down Amortization'!$A335,360,'With Loan'!$D$40,0,0)</f>
        <v>1498.4174013028946</v>
      </c>
      <c r="C335" s="4">
        <f>-IPMT('With Loan'!$D$41/12,'30% Down Amortization'!$A335,360,'With Loan'!$D$40,0,0)</f>
        <v>141.90560595417202</v>
      </c>
      <c r="D335" s="4">
        <f t="shared" si="11"/>
        <v>1640.3230072570666</v>
      </c>
      <c r="E335" s="3">
        <f t="shared" si="10"/>
        <v>43911.376504032291</v>
      </c>
    </row>
    <row r="336" spans="1:5" x14ac:dyDescent="0.25">
      <c r="A336">
        <v>333</v>
      </c>
      <c r="B336" s="4">
        <f>-PPMT('With Loan'!$D$41/12,'30% Down Amortization'!$A336,360,'With Loan'!$D$40,0,0)</f>
        <v>1503.0999556819661</v>
      </c>
      <c r="C336" s="4">
        <f>-IPMT('With Loan'!$D$41/12,'30% Down Amortization'!$A336,360,'With Loan'!$D$40,0,0)</f>
        <v>137.2230515751005</v>
      </c>
      <c r="D336" s="4">
        <f t="shared" si="11"/>
        <v>1640.3230072570666</v>
      </c>
      <c r="E336" s="3">
        <f t="shared" si="10"/>
        <v>42408.276548350324</v>
      </c>
    </row>
    <row r="337" spans="1:5" x14ac:dyDescent="0.25">
      <c r="A337">
        <v>334</v>
      </c>
      <c r="B337" s="4">
        <f>-PPMT('With Loan'!$D$41/12,'30% Down Amortization'!$A337,360,'With Loan'!$D$40,0,0)</f>
        <v>1507.797143043472</v>
      </c>
      <c r="C337" s="4">
        <f>-IPMT('With Loan'!$D$41/12,'30% Down Amortization'!$A337,360,'With Loan'!$D$40,0,0)</f>
        <v>132.52586421359433</v>
      </c>
      <c r="D337" s="4">
        <f t="shared" si="11"/>
        <v>1640.3230072570664</v>
      </c>
      <c r="E337" s="3">
        <f t="shared" si="10"/>
        <v>40900.479405306854</v>
      </c>
    </row>
    <row r="338" spans="1:5" x14ac:dyDescent="0.25">
      <c r="A338">
        <v>335</v>
      </c>
      <c r="B338" s="4">
        <f>-PPMT('With Loan'!$D$41/12,'30% Down Amortization'!$A338,360,'With Loan'!$D$40,0,0)</f>
        <v>1512.509009115483</v>
      </c>
      <c r="C338" s="4">
        <f>-IPMT('With Loan'!$D$41/12,'30% Down Amortization'!$A338,360,'With Loan'!$D$40,0,0)</f>
        <v>127.81399814158348</v>
      </c>
      <c r="D338" s="4">
        <f t="shared" si="11"/>
        <v>1640.3230072570664</v>
      </c>
      <c r="E338" s="3">
        <f t="shared" si="10"/>
        <v>39387.970396191369</v>
      </c>
    </row>
    <row r="339" spans="1:5" x14ac:dyDescent="0.25">
      <c r="A339">
        <v>336</v>
      </c>
      <c r="B339" s="4">
        <f>-PPMT('With Loan'!$D$41/12,'30% Down Amortization'!$A339,360,'With Loan'!$D$40,0,0)</f>
        <v>1517.235599768969</v>
      </c>
      <c r="C339" s="4">
        <f>-IPMT('With Loan'!$D$41/12,'30% Down Amortization'!$A339,360,'With Loan'!$D$40,0,0)</f>
        <v>123.08740748809758</v>
      </c>
      <c r="D339" s="4">
        <f t="shared" si="11"/>
        <v>1640.3230072570666</v>
      </c>
      <c r="E339" s="3">
        <f t="shared" si="10"/>
        <v>37870.734796422403</v>
      </c>
    </row>
    <row r="340" spans="1:5" x14ac:dyDescent="0.25">
      <c r="A340">
        <v>337</v>
      </c>
      <c r="B340" s="4">
        <f>-PPMT('With Loan'!$D$41/12,'30% Down Amortization'!$A340,360,'With Loan'!$D$40,0,0)</f>
        <v>1521.9769610182468</v>
      </c>
      <c r="C340" s="4">
        <f>-IPMT('With Loan'!$D$41/12,'30% Down Amortization'!$A340,360,'With Loan'!$D$40,0,0)</f>
        <v>118.34604623881957</v>
      </c>
      <c r="D340" s="4">
        <f t="shared" si="11"/>
        <v>1640.3230072570664</v>
      </c>
      <c r="E340" s="3">
        <f t="shared" si="10"/>
        <v>36348.757835404154</v>
      </c>
    </row>
    <row r="341" spans="1:5" x14ac:dyDescent="0.25">
      <c r="A341">
        <v>338</v>
      </c>
      <c r="B341" s="4">
        <f>-PPMT('With Loan'!$D$41/12,'30% Down Amortization'!$A341,360,'With Loan'!$D$40,0,0)</f>
        <v>1526.733139021429</v>
      </c>
      <c r="C341" s="4">
        <f>-IPMT('With Loan'!$D$41/12,'30% Down Amortization'!$A341,360,'With Loan'!$D$40,0,0)</f>
        <v>113.58986823563757</v>
      </c>
      <c r="D341" s="4">
        <f t="shared" si="11"/>
        <v>1640.3230072570666</v>
      </c>
      <c r="E341" s="3">
        <f t="shared" si="10"/>
        <v>34822.024696382723</v>
      </c>
    </row>
    <row r="342" spans="1:5" x14ac:dyDescent="0.25">
      <c r="A342">
        <v>339</v>
      </c>
      <c r="B342" s="4">
        <f>-PPMT('With Loan'!$D$41/12,'30% Down Amortization'!$A342,360,'With Loan'!$D$40,0,0)</f>
        <v>1531.504180080871</v>
      </c>
      <c r="C342" s="4">
        <f>-IPMT('With Loan'!$D$41/12,'30% Down Amortization'!$A342,360,'With Loan'!$D$40,0,0)</f>
        <v>108.8188271761956</v>
      </c>
      <c r="D342" s="4">
        <f t="shared" si="11"/>
        <v>1640.3230072570666</v>
      </c>
      <c r="E342" s="3">
        <f t="shared" si="10"/>
        <v>33290.520516301855</v>
      </c>
    </row>
    <row r="343" spans="1:5" x14ac:dyDescent="0.25">
      <c r="A343">
        <v>340</v>
      </c>
      <c r="B343" s="4">
        <f>-PPMT('With Loan'!$D$41/12,'30% Down Amortization'!$A343,360,'With Loan'!$D$40,0,0)</f>
        <v>1536.2901306436236</v>
      </c>
      <c r="C343" s="4">
        <f>-IPMT('With Loan'!$D$41/12,'30% Down Amortization'!$A343,360,'With Loan'!$D$40,0,0)</f>
        <v>104.03287661344288</v>
      </c>
      <c r="D343" s="4">
        <f t="shared" si="11"/>
        <v>1640.3230072570664</v>
      </c>
      <c r="E343" s="3">
        <f t="shared" si="10"/>
        <v>31754.230385658229</v>
      </c>
    </row>
    <row r="344" spans="1:5" x14ac:dyDescent="0.25">
      <c r="A344">
        <v>341</v>
      </c>
      <c r="B344" s="4">
        <f>-PPMT('With Loan'!$D$41/12,'30% Down Amortization'!$A344,360,'With Loan'!$D$40,0,0)</f>
        <v>1541.0910373018849</v>
      </c>
      <c r="C344" s="4">
        <f>-IPMT('With Loan'!$D$41/12,'30% Down Amortization'!$A344,360,'With Loan'!$D$40,0,0)</f>
        <v>99.23196995518154</v>
      </c>
      <c r="D344" s="4">
        <f t="shared" si="11"/>
        <v>1640.3230072570664</v>
      </c>
      <c r="E344" s="3">
        <f t="shared" si="10"/>
        <v>30213.139348356344</v>
      </c>
    </row>
    <row r="345" spans="1:5" x14ac:dyDescent="0.25">
      <c r="A345">
        <v>342</v>
      </c>
      <c r="B345" s="4">
        <f>-PPMT('With Loan'!$D$41/12,'30% Down Amortization'!$A345,360,'With Loan'!$D$40,0,0)</f>
        <v>1545.9069467934532</v>
      </c>
      <c r="C345" s="4">
        <f>-IPMT('With Loan'!$D$41/12,'30% Down Amortization'!$A345,360,'With Loan'!$D$40,0,0)</f>
        <v>94.41606046361315</v>
      </c>
      <c r="D345" s="4">
        <f t="shared" si="11"/>
        <v>1640.3230072570664</v>
      </c>
      <c r="E345" s="3">
        <f t="shared" si="10"/>
        <v>28667.232401562891</v>
      </c>
    </row>
    <row r="346" spans="1:5" x14ac:dyDescent="0.25">
      <c r="A346">
        <v>343</v>
      </c>
      <c r="B346" s="4">
        <f>-PPMT('With Loan'!$D$41/12,'30% Down Amortization'!$A346,360,'With Loan'!$D$40,0,0)</f>
        <v>1550.7379060021829</v>
      </c>
      <c r="C346" s="4">
        <f>-IPMT('With Loan'!$D$41/12,'30% Down Amortization'!$A346,360,'With Loan'!$D$40,0,0)</f>
        <v>89.585101254883611</v>
      </c>
      <c r="D346" s="4">
        <f t="shared" si="11"/>
        <v>1640.3230072570664</v>
      </c>
      <c r="E346" s="3">
        <f t="shared" si="10"/>
        <v>27116.49449556071</v>
      </c>
    </row>
    <row r="347" spans="1:5" x14ac:dyDescent="0.25">
      <c r="A347">
        <v>344</v>
      </c>
      <c r="B347" s="4">
        <f>-PPMT('With Loan'!$D$41/12,'30% Down Amortization'!$A347,360,'With Loan'!$D$40,0,0)</f>
        <v>1555.5839619584399</v>
      </c>
      <c r="C347" s="4">
        <f>-IPMT('With Loan'!$D$41/12,'30% Down Amortization'!$A347,360,'With Loan'!$D$40,0,0)</f>
        <v>84.739045298626777</v>
      </c>
      <c r="D347" s="4">
        <f t="shared" si="11"/>
        <v>1640.3230072570666</v>
      </c>
      <c r="E347" s="3">
        <f t="shared" si="10"/>
        <v>25560.910533602269</v>
      </c>
    </row>
    <row r="348" spans="1:5" x14ac:dyDescent="0.25">
      <c r="A348">
        <v>345</v>
      </c>
      <c r="B348" s="4">
        <f>-PPMT('With Loan'!$D$41/12,'30% Down Amortization'!$A348,360,'With Loan'!$D$40,0,0)</f>
        <v>1560.4451618395597</v>
      </c>
      <c r="C348" s="4">
        <f>-IPMT('With Loan'!$D$41/12,'30% Down Amortization'!$A348,360,'With Loan'!$D$40,0,0)</f>
        <v>79.877845417506663</v>
      </c>
      <c r="D348" s="4">
        <f t="shared" si="11"/>
        <v>1640.3230072570664</v>
      </c>
      <c r="E348" s="3">
        <f t="shared" si="10"/>
        <v>24000.465371762708</v>
      </c>
    </row>
    <row r="349" spans="1:5" x14ac:dyDescent="0.25">
      <c r="A349">
        <v>346</v>
      </c>
      <c r="B349" s="4">
        <f>-PPMT('With Loan'!$D$41/12,'30% Down Amortization'!$A349,360,'With Loan'!$D$40,0,0)</f>
        <v>1565.3215529703084</v>
      </c>
      <c r="C349" s="4">
        <f>-IPMT('With Loan'!$D$41/12,'30% Down Amortization'!$A349,360,'With Loan'!$D$40,0,0)</f>
        <v>75.001454286758033</v>
      </c>
      <c r="D349" s="4">
        <f t="shared" si="11"/>
        <v>1640.3230072570664</v>
      </c>
      <c r="E349" s="3">
        <f t="shared" si="10"/>
        <v>22435.1438187924</v>
      </c>
    </row>
    <row r="350" spans="1:5" x14ac:dyDescent="0.25">
      <c r="A350">
        <v>347</v>
      </c>
      <c r="B350" s="4">
        <f>-PPMT('With Loan'!$D$41/12,'30% Down Amortization'!$A350,360,'With Loan'!$D$40,0,0)</f>
        <v>1570.2131828233407</v>
      </c>
      <c r="C350" s="4">
        <f>-IPMT('With Loan'!$D$41/12,'30% Down Amortization'!$A350,360,'With Loan'!$D$40,0,0)</f>
        <v>70.109824433725834</v>
      </c>
      <c r="D350" s="4">
        <f t="shared" si="11"/>
        <v>1640.3230072570666</v>
      </c>
      <c r="E350" s="3">
        <f t="shared" si="10"/>
        <v>20864.93063596906</v>
      </c>
    </row>
    <row r="351" spans="1:5" x14ac:dyDescent="0.25">
      <c r="A351">
        <v>348</v>
      </c>
      <c r="B351" s="4">
        <f>-PPMT('With Loan'!$D$41/12,'30% Down Amortization'!$A351,360,'With Loan'!$D$40,0,0)</f>
        <v>1575.1200990196637</v>
      </c>
      <c r="C351" s="4">
        <f>-IPMT('With Loan'!$D$41/12,'30% Down Amortization'!$A351,360,'With Loan'!$D$40,0,0)</f>
        <v>65.202908237402895</v>
      </c>
      <c r="D351" s="4">
        <f t="shared" si="11"/>
        <v>1640.3230072570666</v>
      </c>
      <c r="E351" s="3">
        <f t="shared" si="10"/>
        <v>19289.810536949397</v>
      </c>
    </row>
    <row r="352" spans="1:5" x14ac:dyDescent="0.25">
      <c r="A352">
        <v>349</v>
      </c>
      <c r="B352" s="4">
        <f>-PPMT('With Loan'!$D$41/12,'30% Down Amortization'!$A352,360,'With Loan'!$D$40,0,0)</f>
        <v>1580.0423493291</v>
      </c>
      <c r="C352" s="4">
        <f>-IPMT('With Loan'!$D$41/12,'30% Down Amortization'!$A352,360,'With Loan'!$D$40,0,0)</f>
        <v>60.280657927966431</v>
      </c>
      <c r="D352" s="4">
        <f t="shared" si="11"/>
        <v>1640.3230072570664</v>
      </c>
      <c r="E352" s="3">
        <f t="shared" si="10"/>
        <v>17709.768187620299</v>
      </c>
    </row>
    <row r="353" spans="1:5" x14ac:dyDescent="0.25">
      <c r="A353">
        <v>350</v>
      </c>
      <c r="B353" s="4">
        <f>-PPMT('With Loan'!$D$41/12,'30% Down Amortization'!$A353,360,'With Loan'!$D$40,0,0)</f>
        <v>1584.9799816707534</v>
      </c>
      <c r="C353" s="4">
        <f>-IPMT('With Loan'!$D$41/12,'30% Down Amortization'!$A353,360,'With Loan'!$D$40,0,0)</f>
        <v>55.343025586313011</v>
      </c>
      <c r="D353" s="4">
        <f t="shared" si="11"/>
        <v>1640.3230072570664</v>
      </c>
      <c r="E353" s="3">
        <f t="shared" si="10"/>
        <v>16124.788205949546</v>
      </c>
    </row>
    <row r="354" spans="1:5" x14ac:dyDescent="0.25">
      <c r="A354">
        <v>351</v>
      </c>
      <c r="B354" s="4">
        <f>-PPMT('With Loan'!$D$41/12,'30% Down Amortization'!$A354,360,'With Loan'!$D$40,0,0)</f>
        <v>1589.9330441134746</v>
      </c>
      <c r="C354" s="4">
        <f>-IPMT('With Loan'!$D$41/12,'30% Down Amortization'!$A354,360,'With Loan'!$D$40,0,0)</f>
        <v>50.389963143591892</v>
      </c>
      <c r="D354" s="4">
        <f t="shared" si="11"/>
        <v>1640.3230072570664</v>
      </c>
      <c r="E354" s="3">
        <f t="shared" ref="E354:E363" si="12">E353-B354</f>
        <v>14534.855161836071</v>
      </c>
    </row>
    <row r="355" spans="1:5" x14ac:dyDescent="0.25">
      <c r="A355">
        <v>352</v>
      </c>
      <c r="B355" s="4">
        <f>-PPMT('With Loan'!$D$41/12,'30% Down Amortization'!$A355,360,'With Loan'!$D$40,0,0)</f>
        <v>1594.9015848763293</v>
      </c>
      <c r="C355" s="4">
        <f>-IPMT('With Loan'!$D$41/12,'30% Down Amortization'!$A355,360,'With Loan'!$D$40,0,0)</f>
        <v>45.42142238073729</v>
      </c>
      <c r="D355" s="4">
        <f t="shared" si="11"/>
        <v>1640.3230072570666</v>
      </c>
      <c r="E355" s="3">
        <f t="shared" si="12"/>
        <v>12939.953576959742</v>
      </c>
    </row>
    <row r="356" spans="1:5" x14ac:dyDescent="0.25">
      <c r="A356">
        <v>353</v>
      </c>
      <c r="B356" s="4">
        <f>-PPMT('With Loan'!$D$41/12,'30% Down Amortization'!$A356,360,'With Loan'!$D$40,0,0)</f>
        <v>1599.8856523290676</v>
      </c>
      <c r="C356" s="4">
        <f>-IPMT('With Loan'!$D$41/12,'30% Down Amortization'!$A356,360,'With Loan'!$D$40,0,0)</f>
        <v>40.437354927998761</v>
      </c>
      <c r="D356" s="4">
        <f t="shared" si="11"/>
        <v>1640.3230072570664</v>
      </c>
      <c r="E356" s="3">
        <f t="shared" si="12"/>
        <v>11340.067924630675</v>
      </c>
    </row>
    <row r="357" spans="1:5" x14ac:dyDescent="0.25">
      <c r="A357">
        <v>354</v>
      </c>
      <c r="B357" s="4">
        <f>-PPMT('With Loan'!$D$41/12,'30% Down Amortization'!$A357,360,'With Loan'!$D$40,0,0)</f>
        <v>1604.8852949925961</v>
      </c>
      <c r="C357" s="4">
        <f>-IPMT('With Loan'!$D$41/12,'30% Down Amortization'!$A357,360,'With Loan'!$D$40,0,0)</f>
        <v>35.43771226447042</v>
      </c>
      <c r="D357" s="4">
        <f t="shared" si="11"/>
        <v>1640.3230072570666</v>
      </c>
      <c r="E357" s="3">
        <f t="shared" si="12"/>
        <v>9735.1826296380787</v>
      </c>
    </row>
    <row r="358" spans="1:5" x14ac:dyDescent="0.25">
      <c r="A358">
        <v>355</v>
      </c>
      <c r="B358" s="4">
        <f>-PPMT('With Loan'!$D$41/12,'30% Down Amortization'!$A358,360,'With Loan'!$D$40,0,0)</f>
        <v>1609.9005615394478</v>
      </c>
      <c r="C358" s="4">
        <f>-IPMT('With Loan'!$D$41/12,'30% Down Amortization'!$A358,360,'With Loan'!$D$40,0,0)</f>
        <v>30.422445717618555</v>
      </c>
      <c r="D358" s="4">
        <f t="shared" si="11"/>
        <v>1640.3230072570664</v>
      </c>
      <c r="E358" s="3">
        <f t="shared" si="12"/>
        <v>8125.2820680986306</v>
      </c>
    </row>
    <row r="359" spans="1:5" x14ac:dyDescent="0.25">
      <c r="A359">
        <v>356</v>
      </c>
      <c r="B359" s="4">
        <f>-PPMT('With Loan'!$D$41/12,'30% Down Amortization'!$A359,360,'With Loan'!$D$40,0,0)</f>
        <v>1614.9315007942587</v>
      </c>
      <c r="C359" s="4">
        <f>-IPMT('With Loan'!$D$41/12,'30% Down Amortization'!$A359,360,'With Loan'!$D$40,0,0)</f>
        <v>25.391506462807786</v>
      </c>
      <c r="D359" s="4">
        <f t="shared" si="11"/>
        <v>1640.3230072570664</v>
      </c>
      <c r="E359" s="3">
        <f t="shared" si="12"/>
        <v>6510.3505673043719</v>
      </c>
    </row>
    <row r="360" spans="1:5" x14ac:dyDescent="0.25">
      <c r="A360">
        <v>357</v>
      </c>
      <c r="B360" s="4">
        <f>-PPMT('With Loan'!$D$41/12,'30% Down Amortization'!$A360,360,'With Loan'!$D$40,0,0)</f>
        <v>1619.9781617342408</v>
      </c>
      <c r="C360" s="4">
        <f>-IPMT('With Loan'!$D$41/12,'30% Down Amortization'!$A360,360,'With Loan'!$D$40,0,0)</f>
        <v>20.344845522825729</v>
      </c>
      <c r="D360" s="4">
        <f t="shared" si="11"/>
        <v>1640.3230072570666</v>
      </c>
      <c r="E360" s="3">
        <f t="shared" si="12"/>
        <v>4890.3724055701314</v>
      </c>
    </row>
    <row r="361" spans="1:5" x14ac:dyDescent="0.25">
      <c r="A361">
        <v>358</v>
      </c>
      <c r="B361" s="4">
        <f>-PPMT('With Loan'!$D$41/12,'30% Down Amortization'!$A361,360,'With Loan'!$D$40,0,0)</f>
        <v>1625.0405934896605</v>
      </c>
      <c r="C361" s="4">
        <f>-IPMT('With Loan'!$D$41/12,'30% Down Amortization'!$A361,360,'With Loan'!$D$40,0,0)</f>
        <v>15.282413767406224</v>
      </c>
      <c r="D361" s="4">
        <f t="shared" si="11"/>
        <v>1640.3230072570668</v>
      </c>
      <c r="E361" s="3">
        <f t="shared" si="12"/>
        <v>3265.3318120804706</v>
      </c>
    </row>
    <row r="362" spans="1:5" x14ac:dyDescent="0.25">
      <c r="A362">
        <v>359</v>
      </c>
      <c r="B362" s="4">
        <f>-PPMT('With Loan'!$D$41/12,'30% Down Amortization'!$A362,360,'With Loan'!$D$40,0,0)</f>
        <v>1630.1188453443153</v>
      </c>
      <c r="C362" s="4">
        <f>-IPMT('With Loan'!$D$41/12,'30% Down Amortization'!$A362,360,'With Loan'!$D$40,0,0)</f>
        <v>10.204161912751035</v>
      </c>
      <c r="D362" s="4">
        <f t="shared" si="11"/>
        <v>1640.3230072570664</v>
      </c>
      <c r="E362" s="3">
        <f t="shared" si="12"/>
        <v>1635.2129667361553</v>
      </c>
    </row>
    <row r="363" spans="1:5" x14ac:dyDescent="0.25">
      <c r="A363">
        <v>360</v>
      </c>
      <c r="B363" s="4">
        <f>-PPMT('With Loan'!$D$41/12,'30% Down Amortization'!$A363,360,'With Loan'!$D$40,0,0)</f>
        <v>1635.2129667360166</v>
      </c>
      <c r="C363" s="4">
        <f>-IPMT('With Loan'!$D$41/12,'30% Down Amortization'!$A363,360,'With Loan'!$D$40,0,0)</f>
        <v>5.1100405210500517</v>
      </c>
      <c r="D363" s="4">
        <f t="shared" si="11"/>
        <v>1640.3230072570666</v>
      </c>
      <c r="E363" s="3">
        <f t="shared" si="12"/>
        <v>1.3869794202037156E-10</v>
      </c>
    </row>
  </sheetData>
  <sheetProtection algorithmName="SHA-512" hashValue="eN2M69IgExmqdA6292O9JyWvXwiKhotCCTGe2CZcEW4tenJhwcGGXj+CMM/W23PNLANj/hW4hlyTDtXfjHQk8g==" saltValue="0U48QsPD6q3TBM1dMinsh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69DB59EED59A4B9D2A41DA9F049753" ma:contentTypeVersion="18" ma:contentTypeDescription="Create a new document." ma:contentTypeScope="" ma:versionID="5ecd3920a0d5fb11bb94e6590cb9cece">
  <xsd:schema xmlns:xsd="http://www.w3.org/2001/XMLSchema" xmlns:xs="http://www.w3.org/2001/XMLSchema" xmlns:p="http://schemas.microsoft.com/office/2006/metadata/properties" xmlns:ns2="b9c8e6ef-adaa-44cf-b33b-1c02ae1fb283" xmlns:ns3="805d0126-7d6a-4874-a9c2-f0732c30a516" targetNamespace="http://schemas.microsoft.com/office/2006/metadata/properties" ma:root="true" ma:fieldsID="6fd82b1cdd232b8a9b843fc478f2d20f" ns2:_="" ns3:_="">
    <xsd:import namespace="b9c8e6ef-adaa-44cf-b33b-1c02ae1fb283"/>
    <xsd:import namespace="805d0126-7d6a-4874-a9c2-f0732c30a5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8e6ef-adaa-44cf-b33b-1c02ae1fb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da262b3-c911-4d7a-9ca6-09044c850c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5d0126-7d6a-4874-a9c2-f0732c30a51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01e4632-65b1-419a-abf9-7aa14e6fdc28}" ma:internalName="TaxCatchAll" ma:showField="CatchAllData" ma:web="805d0126-7d6a-4874-a9c2-f0732c30a51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c8e6ef-adaa-44cf-b33b-1c02ae1fb283">
      <Terms xmlns="http://schemas.microsoft.com/office/infopath/2007/PartnerControls"/>
    </lcf76f155ced4ddcb4097134ff3c332f>
    <TaxCatchAll xmlns="805d0126-7d6a-4874-a9c2-f0732c30a5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68DE0-F160-4B6D-8948-C372351EC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8e6ef-adaa-44cf-b33b-1c02ae1fb283"/>
    <ds:schemaRef ds:uri="805d0126-7d6a-4874-a9c2-f0732c30a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32D972-31B8-466B-822A-61C798CAA031}">
  <ds:schemaRefs>
    <ds:schemaRef ds:uri="http://schemas.microsoft.com/office/2006/metadata/properties"/>
    <ds:schemaRef ds:uri="http://schemas.microsoft.com/office/infopath/2007/PartnerControls"/>
    <ds:schemaRef ds:uri="b9c8e6ef-adaa-44cf-b33b-1c02ae1fb283"/>
    <ds:schemaRef ds:uri="805d0126-7d6a-4874-a9c2-f0732c30a516"/>
  </ds:schemaRefs>
</ds:datastoreItem>
</file>

<file path=customXml/itemProps3.xml><?xml version="1.0" encoding="utf-8"?>
<ds:datastoreItem xmlns:ds="http://schemas.openxmlformats.org/officeDocument/2006/customXml" ds:itemID="{95753417-07D2-4AAC-920E-09C8248A9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Summary</vt:lpstr>
      <vt:lpstr>All Cash</vt:lpstr>
      <vt:lpstr>With Loan</vt:lpstr>
      <vt:lpstr>Owner Occupier</vt:lpstr>
      <vt:lpstr>Closing Costs</vt:lpstr>
      <vt:lpstr>FHA Amotization</vt:lpstr>
      <vt:lpstr>DAta</vt:lpstr>
      <vt:lpstr>30% Down Amortization</vt:lpstr>
      <vt:lpstr>'All Cash'!Print_Area</vt:lpstr>
      <vt:lpstr>'Owner Occupier'!Print_Area</vt:lpstr>
      <vt:lpstr>'With Loan'!Print_Area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Flanagin</dc:creator>
  <cp:keywords/>
  <dc:description/>
  <cp:lastModifiedBy>Martin Rico</cp:lastModifiedBy>
  <cp:revision/>
  <cp:lastPrinted>2025-11-05T21:32:01Z</cp:lastPrinted>
  <dcterms:created xsi:type="dcterms:W3CDTF">2025-02-11T03:30:30Z</dcterms:created>
  <dcterms:modified xsi:type="dcterms:W3CDTF">2025-11-05T21:34:11Z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0x010100F169DB59EED59A4B9D2A41DA9F049753</vt:lpwstr>
  </property>
  <property fmtid="{D5CDD505-2E9C-101B-9397-08002B2CF9AE}" pid="3" name="MediaServiceImageTags">
    <vt:lpwstr/>
  </property>
</Properties>
</file>